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арый нотбук\Отправка\"/>
    </mc:Choice>
  </mc:AlternateContent>
  <bookViews>
    <workbookView xWindow="0" yWindow="0" windowWidth="28800" windowHeight="11280"/>
  </bookViews>
  <sheets>
    <sheet name="Дуб" sheetId="1" r:id="rId1"/>
    <sheet name="Ясень" sheetId="2" r:id="rId2"/>
    <sheet name="Дуб ДВ" sheetId="3" r:id="rId3"/>
    <sheet name="Ясень ДВ" sheetId="4" r:id="rId4"/>
    <sheet name="Лиственница" sheetId="5" r:id="rId5"/>
    <sheet name="Заготовки" sheetId="6" r:id="rId6"/>
  </sheets>
  <calcPr calcId="162913"/>
  <extLst>
    <ext uri="GoogleSheetsCustomDataVersion1">
      <go:sheetsCustomData xmlns:go="http://customooxmlschemas.google.com/" r:id="rId10" roundtripDataSignature="AMtx7mg3r8jXTm+HuJ6LZBx74kmy/uWWiQ=="/>
    </ext>
  </extLst>
</workbook>
</file>

<file path=xl/calcChain.xml><?xml version="1.0" encoding="utf-8"?>
<calcChain xmlns="http://schemas.openxmlformats.org/spreadsheetml/2006/main">
  <c r="K10" i="6" l="1"/>
  <c r="J10" i="6"/>
  <c r="G10" i="6"/>
  <c r="H10" i="6" s="1"/>
  <c r="K8" i="6"/>
  <c r="J8" i="6"/>
  <c r="G8" i="6"/>
  <c r="K7" i="6"/>
  <c r="J7" i="6"/>
  <c r="G7" i="6"/>
  <c r="K6" i="6"/>
  <c r="J6" i="6"/>
  <c r="G6" i="6"/>
  <c r="J55" i="5"/>
  <c r="I55" i="5"/>
  <c r="F55" i="5"/>
  <c r="J54" i="5"/>
  <c r="I54" i="5"/>
  <c r="F54" i="5"/>
  <c r="J53" i="5"/>
  <c r="I53" i="5"/>
  <c r="G53" i="5"/>
  <c r="J52" i="5"/>
  <c r="I52" i="5"/>
  <c r="F52" i="5"/>
  <c r="J51" i="5"/>
  <c r="I51" i="5"/>
  <c r="G51" i="5"/>
  <c r="J50" i="5"/>
  <c r="I50" i="5"/>
  <c r="G50" i="5"/>
  <c r="J49" i="5"/>
  <c r="I49" i="5"/>
  <c r="G49" i="5"/>
  <c r="J48" i="5"/>
  <c r="I48" i="5"/>
  <c r="G48" i="5"/>
  <c r="J47" i="5"/>
  <c r="I47" i="5"/>
  <c r="G47" i="5"/>
  <c r="J46" i="5"/>
  <c r="I46" i="5"/>
  <c r="G46" i="5"/>
  <c r="J45" i="5"/>
  <c r="I45" i="5"/>
  <c r="G45" i="5"/>
  <c r="J44" i="5"/>
  <c r="I44" i="5"/>
  <c r="G44" i="5"/>
  <c r="J43" i="5"/>
  <c r="I43" i="5"/>
  <c r="G43" i="5"/>
  <c r="J42" i="5"/>
  <c r="I42" i="5"/>
  <c r="G42" i="5"/>
  <c r="J41" i="5"/>
  <c r="I41" i="5"/>
  <c r="G41" i="5"/>
  <c r="J40" i="5"/>
  <c r="I40" i="5"/>
  <c r="G40" i="5"/>
  <c r="J39" i="5"/>
  <c r="I39" i="5"/>
  <c r="G39" i="5"/>
  <c r="J38" i="5"/>
  <c r="I38" i="5"/>
  <c r="G38" i="5"/>
  <c r="J37" i="5"/>
  <c r="I37" i="5"/>
  <c r="G37" i="5"/>
  <c r="J36" i="5"/>
  <c r="I36" i="5"/>
  <c r="G36" i="5"/>
  <c r="J35" i="5"/>
  <c r="I35" i="5"/>
  <c r="G35" i="5"/>
  <c r="J34" i="5"/>
  <c r="I34" i="5"/>
  <c r="G34" i="5"/>
  <c r="J33" i="5"/>
  <c r="I33" i="5"/>
  <c r="G33" i="5"/>
  <c r="J32" i="5"/>
  <c r="I32" i="5"/>
  <c r="G32" i="5"/>
  <c r="J31" i="5"/>
  <c r="I31" i="5"/>
  <c r="G31" i="5"/>
  <c r="J30" i="5"/>
  <c r="I30" i="5"/>
  <c r="G30" i="5"/>
  <c r="J29" i="5"/>
  <c r="I29" i="5"/>
  <c r="G29" i="5"/>
  <c r="J28" i="5"/>
  <c r="I28" i="5"/>
  <c r="G28" i="5"/>
  <c r="J27" i="5"/>
  <c r="I27" i="5"/>
  <c r="G27" i="5"/>
  <c r="J26" i="5"/>
  <c r="I26" i="5"/>
  <c r="G26" i="5"/>
  <c r="J25" i="5"/>
  <c r="I25" i="5"/>
  <c r="G25" i="5"/>
  <c r="J24" i="5"/>
  <c r="I24" i="5"/>
  <c r="G24" i="5"/>
  <c r="J23" i="5"/>
  <c r="I23" i="5"/>
  <c r="G23" i="5"/>
  <c r="J22" i="5"/>
  <c r="I22" i="5"/>
  <c r="G22" i="5"/>
  <c r="J21" i="5"/>
  <c r="I21" i="5"/>
  <c r="G21" i="5"/>
  <c r="J20" i="5"/>
  <c r="I20" i="5"/>
  <c r="G20" i="5"/>
  <c r="J19" i="5"/>
  <c r="I19" i="5"/>
  <c r="G19" i="5"/>
  <c r="J18" i="5"/>
  <c r="I18" i="5"/>
  <c r="G18" i="5"/>
  <c r="J17" i="5"/>
  <c r="I17" i="5"/>
  <c r="G17" i="5"/>
  <c r="J16" i="5"/>
  <c r="I16" i="5"/>
  <c r="G16" i="5"/>
  <c r="J15" i="5"/>
  <c r="I15" i="5"/>
  <c r="G15" i="5"/>
  <c r="J14" i="5"/>
  <c r="I14" i="5"/>
  <c r="G14" i="5"/>
  <c r="J13" i="5"/>
  <c r="I13" i="5"/>
  <c r="G13" i="5"/>
  <c r="J12" i="5"/>
  <c r="I12" i="5"/>
  <c r="G12" i="5"/>
  <c r="J11" i="5"/>
  <c r="I11" i="5"/>
  <c r="G11" i="5"/>
  <c r="J10" i="5"/>
  <c r="I10" i="5"/>
  <c r="G10" i="5"/>
  <c r="J9" i="5"/>
  <c r="I9" i="5"/>
  <c r="F9" i="5"/>
  <c r="J8" i="5"/>
  <c r="I8" i="5"/>
  <c r="F8" i="5"/>
  <c r="G8" i="5" s="1"/>
  <c r="J7" i="5"/>
  <c r="I7" i="5"/>
  <c r="F7" i="5"/>
  <c r="G7" i="5" s="1"/>
  <c r="J38" i="4"/>
  <c r="I38" i="4"/>
  <c r="G38" i="4"/>
  <c r="J37" i="4"/>
  <c r="I37" i="4"/>
  <c r="G37" i="4"/>
  <c r="J36" i="4"/>
  <c r="I36" i="4"/>
  <c r="G36" i="4"/>
  <c r="J35" i="4"/>
  <c r="I35" i="4"/>
  <c r="F35" i="4"/>
  <c r="G35" i="4" s="1"/>
  <c r="J34" i="4"/>
  <c r="I34" i="4"/>
  <c r="F34" i="4"/>
  <c r="G34" i="4" s="1"/>
  <c r="J33" i="4"/>
  <c r="I33" i="4"/>
  <c r="G33" i="4"/>
  <c r="J32" i="4"/>
  <c r="I32" i="4"/>
  <c r="F32" i="4"/>
  <c r="J31" i="4"/>
  <c r="I31" i="4"/>
  <c r="F31" i="4"/>
  <c r="J30" i="4"/>
  <c r="I30" i="4"/>
  <c r="F30" i="4"/>
  <c r="G30" i="4" s="1"/>
  <c r="J29" i="4"/>
  <c r="I29" i="4"/>
  <c r="F29" i="4"/>
  <c r="G29" i="4" s="1"/>
  <c r="J28" i="4"/>
  <c r="I28" i="4"/>
  <c r="F28" i="4"/>
  <c r="G28" i="4" s="1"/>
  <c r="J27" i="4"/>
  <c r="I27" i="4"/>
  <c r="F27" i="4"/>
  <c r="J26" i="4"/>
  <c r="I26" i="4"/>
  <c r="J25" i="4"/>
  <c r="I25" i="4"/>
  <c r="G25" i="4"/>
  <c r="J24" i="4"/>
  <c r="I24" i="4"/>
  <c r="G24" i="4"/>
  <c r="J23" i="4"/>
  <c r="I23" i="4"/>
  <c r="F23" i="4"/>
  <c r="G23" i="4" s="1"/>
  <c r="J22" i="4"/>
  <c r="I22" i="4"/>
  <c r="F22" i="4"/>
  <c r="G22" i="4" s="1"/>
  <c r="J21" i="4"/>
  <c r="I21" i="4"/>
  <c r="G21" i="4"/>
  <c r="J20" i="4"/>
  <c r="I20" i="4"/>
  <c r="F20" i="4"/>
  <c r="G20" i="4" s="1"/>
  <c r="J19" i="4"/>
  <c r="I19" i="4"/>
  <c r="F19" i="4"/>
  <c r="G19" i="4" s="1"/>
  <c r="J18" i="4"/>
  <c r="I18" i="4"/>
  <c r="F18" i="4"/>
  <c r="G18" i="4" s="1"/>
  <c r="J17" i="4"/>
  <c r="I17" i="4"/>
  <c r="F17" i="4"/>
  <c r="G17" i="4" s="1"/>
  <c r="J16" i="4"/>
  <c r="I16" i="4"/>
  <c r="F16" i="4"/>
  <c r="G16" i="4" s="1"/>
  <c r="J15" i="4"/>
  <c r="I15" i="4"/>
  <c r="G15" i="4"/>
  <c r="J14" i="4"/>
  <c r="I14" i="4"/>
  <c r="F14" i="4"/>
  <c r="J13" i="4"/>
  <c r="I13" i="4"/>
  <c r="F13" i="4"/>
  <c r="J12" i="4"/>
  <c r="I12" i="4"/>
  <c r="F12" i="4"/>
  <c r="J11" i="4"/>
  <c r="I11" i="4"/>
  <c r="G11" i="4"/>
  <c r="J10" i="4"/>
  <c r="I10" i="4"/>
  <c r="F10" i="4"/>
  <c r="G10" i="4" s="1"/>
  <c r="J9" i="4"/>
  <c r="I9" i="4"/>
  <c r="G9" i="4"/>
  <c r="J27" i="3"/>
  <c r="I27" i="3"/>
  <c r="G27" i="3"/>
  <c r="J26" i="3"/>
  <c r="I26" i="3"/>
  <c r="G26" i="3"/>
  <c r="J25" i="3"/>
  <c r="I25" i="3"/>
  <c r="F25" i="3"/>
  <c r="G25" i="3" s="1"/>
  <c r="J24" i="3"/>
  <c r="I24" i="3"/>
  <c r="F24" i="3"/>
  <c r="G24" i="3" s="1"/>
  <c r="J23" i="3"/>
  <c r="I23" i="3"/>
  <c r="F23" i="3"/>
  <c r="G23" i="3" s="1"/>
  <c r="J22" i="3"/>
  <c r="I22" i="3"/>
  <c r="F22" i="3"/>
  <c r="G22" i="3" s="1"/>
  <c r="J21" i="3"/>
  <c r="I21" i="3"/>
  <c r="G21" i="3"/>
  <c r="F21" i="3"/>
  <c r="J20" i="3"/>
  <c r="I20" i="3"/>
  <c r="G20" i="3"/>
  <c r="J19" i="3"/>
  <c r="I19" i="3"/>
  <c r="G19" i="3"/>
  <c r="J18" i="3"/>
  <c r="I18" i="3"/>
  <c r="G18" i="3"/>
  <c r="J17" i="3"/>
  <c r="I17" i="3"/>
  <c r="G17" i="3"/>
  <c r="J16" i="3"/>
  <c r="I16" i="3"/>
  <c r="F16" i="3"/>
  <c r="G16" i="3" s="1"/>
  <c r="J15" i="3"/>
  <c r="I15" i="3"/>
  <c r="G15" i="3"/>
  <c r="J14" i="3"/>
  <c r="I14" i="3"/>
  <c r="F14" i="3"/>
  <c r="G14" i="3" s="1"/>
  <c r="J13" i="3"/>
  <c r="I13" i="3"/>
  <c r="F13" i="3"/>
  <c r="G13" i="3" s="1"/>
  <c r="J12" i="3"/>
  <c r="I12" i="3"/>
  <c r="G12" i="3"/>
  <c r="F12" i="3"/>
  <c r="J11" i="3"/>
  <c r="I11" i="3"/>
  <c r="F11" i="3"/>
  <c r="G11" i="3" s="1"/>
  <c r="J10" i="3"/>
  <c r="I10" i="3"/>
  <c r="F10" i="3"/>
  <c r="G10" i="3" s="1"/>
  <c r="J9" i="3"/>
  <c r="I9" i="3"/>
  <c r="F9" i="3"/>
  <c r="G9" i="3" s="1"/>
  <c r="J8" i="3"/>
  <c r="I8" i="3"/>
  <c r="F8" i="3"/>
  <c r="G8" i="3" s="1"/>
  <c r="J87" i="2"/>
  <c r="I87" i="2"/>
  <c r="F87" i="2"/>
  <c r="G87" i="2" s="1"/>
  <c r="J86" i="2"/>
  <c r="I86" i="2"/>
  <c r="F86" i="2"/>
  <c r="G86" i="2" s="1"/>
  <c r="J85" i="2"/>
  <c r="I85" i="2"/>
  <c r="F85" i="2"/>
  <c r="G85" i="2" s="1"/>
  <c r="J84" i="2"/>
  <c r="I84" i="2"/>
  <c r="F84" i="2"/>
  <c r="G84" i="2" s="1"/>
  <c r="J83" i="2"/>
  <c r="I83" i="2"/>
  <c r="G83" i="2"/>
  <c r="J82" i="2"/>
  <c r="I82" i="2"/>
  <c r="F82" i="2"/>
  <c r="G82" i="2" s="1"/>
  <c r="J81" i="2"/>
  <c r="I81" i="2"/>
  <c r="F81" i="2"/>
  <c r="G81" i="2" s="1"/>
  <c r="J80" i="2"/>
  <c r="I80" i="2"/>
  <c r="G80" i="2"/>
  <c r="J79" i="2"/>
  <c r="I79" i="2"/>
  <c r="F79" i="2"/>
  <c r="J78" i="2"/>
  <c r="I78" i="2"/>
  <c r="F78" i="2"/>
  <c r="G78" i="2" s="1"/>
  <c r="J77" i="2"/>
  <c r="I77" i="2"/>
  <c r="F77" i="2"/>
  <c r="J76" i="2"/>
  <c r="I76" i="2"/>
  <c r="J75" i="2"/>
  <c r="I75" i="2"/>
  <c r="J74" i="2"/>
  <c r="I74" i="2"/>
  <c r="F74" i="2"/>
  <c r="J73" i="2"/>
  <c r="I73" i="2"/>
  <c r="F73" i="2"/>
  <c r="J72" i="2"/>
  <c r="I72" i="2"/>
  <c r="J71" i="2"/>
  <c r="I71" i="2"/>
  <c r="J70" i="2"/>
  <c r="I70" i="2"/>
  <c r="F70" i="2"/>
  <c r="J69" i="2"/>
  <c r="I69" i="2"/>
  <c r="F69" i="2"/>
  <c r="J68" i="2"/>
  <c r="I68" i="2"/>
  <c r="F68" i="2"/>
  <c r="J67" i="2"/>
  <c r="I67" i="2"/>
  <c r="J66" i="2"/>
  <c r="I66" i="2"/>
  <c r="F66" i="2"/>
  <c r="J65" i="2"/>
  <c r="I65" i="2"/>
  <c r="J64" i="2"/>
  <c r="I64" i="2"/>
  <c r="F64" i="2"/>
  <c r="J63" i="2"/>
  <c r="I63" i="2"/>
  <c r="J62" i="2"/>
  <c r="I62" i="2"/>
  <c r="F62" i="2"/>
  <c r="J61" i="2"/>
  <c r="I61" i="2"/>
  <c r="J60" i="2"/>
  <c r="I60" i="2"/>
  <c r="J59" i="2"/>
  <c r="I59" i="2"/>
  <c r="F59" i="2"/>
  <c r="J58" i="2"/>
  <c r="I58" i="2"/>
  <c r="G58" i="2"/>
  <c r="J57" i="2"/>
  <c r="I57" i="2"/>
  <c r="F57" i="2"/>
  <c r="G57" i="2" s="1"/>
  <c r="J56" i="2"/>
  <c r="I56" i="2"/>
  <c r="F56" i="2"/>
  <c r="G56" i="2" s="1"/>
  <c r="J55" i="2"/>
  <c r="I55" i="2"/>
  <c r="F55" i="2"/>
  <c r="G55" i="2" s="1"/>
  <c r="J54" i="2"/>
  <c r="I54" i="2"/>
  <c r="F54" i="2"/>
  <c r="G54" i="2" s="1"/>
  <c r="J53" i="2"/>
  <c r="I53" i="2"/>
  <c r="F53" i="2"/>
  <c r="G53" i="2" s="1"/>
  <c r="J52" i="2"/>
  <c r="I52" i="2"/>
  <c r="F52" i="2"/>
  <c r="G52" i="2" s="1"/>
  <c r="J51" i="2"/>
  <c r="I51" i="2"/>
  <c r="G51" i="2"/>
  <c r="J50" i="2"/>
  <c r="I50" i="2"/>
  <c r="F50" i="2"/>
  <c r="G50" i="2" s="1"/>
  <c r="J49" i="2"/>
  <c r="I49" i="2"/>
  <c r="G49" i="2"/>
  <c r="J48" i="2"/>
  <c r="I48" i="2"/>
  <c r="G48" i="2"/>
  <c r="J47" i="2"/>
  <c r="I47" i="2"/>
  <c r="F47" i="2"/>
  <c r="J46" i="2"/>
  <c r="I46" i="2"/>
  <c r="G46" i="2"/>
  <c r="J45" i="2"/>
  <c r="I45" i="2"/>
  <c r="F45" i="2"/>
  <c r="J44" i="2"/>
  <c r="I44" i="2"/>
  <c r="F44" i="2"/>
  <c r="J43" i="2"/>
  <c r="I43" i="2"/>
  <c r="J42" i="2"/>
  <c r="I42" i="2"/>
  <c r="J41" i="2"/>
  <c r="I41" i="2"/>
  <c r="J40" i="2"/>
  <c r="I40" i="2"/>
  <c r="F40" i="2"/>
  <c r="J39" i="2"/>
  <c r="I39" i="2"/>
  <c r="F39" i="2"/>
  <c r="J38" i="2"/>
  <c r="I38" i="2"/>
  <c r="F38" i="2"/>
  <c r="J37" i="2"/>
  <c r="I37" i="2"/>
  <c r="J36" i="2"/>
  <c r="I36" i="2"/>
  <c r="G36" i="2"/>
  <c r="J35" i="2"/>
  <c r="I35" i="2"/>
  <c r="F35" i="2"/>
  <c r="G35" i="2" s="1"/>
  <c r="J34" i="2"/>
  <c r="I34" i="2"/>
  <c r="G34" i="2"/>
  <c r="J33" i="2"/>
  <c r="I33" i="2"/>
  <c r="F33" i="2"/>
  <c r="J32" i="2"/>
  <c r="I32" i="2"/>
  <c r="G32" i="2"/>
  <c r="J31" i="2"/>
  <c r="I31" i="2"/>
  <c r="F31" i="2"/>
  <c r="J30" i="2"/>
  <c r="I30" i="2"/>
  <c r="G30" i="2"/>
  <c r="J29" i="2"/>
  <c r="I29" i="2"/>
  <c r="F29" i="2"/>
  <c r="J28" i="2"/>
  <c r="I28" i="2"/>
  <c r="G28" i="2"/>
  <c r="J27" i="2"/>
  <c r="I27" i="2"/>
  <c r="F27" i="2"/>
  <c r="J26" i="2"/>
  <c r="I26" i="2"/>
  <c r="G26" i="2"/>
  <c r="J25" i="2"/>
  <c r="I25" i="2"/>
  <c r="F25" i="2"/>
  <c r="J24" i="2"/>
  <c r="I24" i="2"/>
  <c r="G24" i="2"/>
  <c r="J23" i="2"/>
  <c r="I23" i="2"/>
  <c r="F23" i="2"/>
  <c r="G23" i="2" s="1"/>
  <c r="J22" i="2"/>
  <c r="I22" i="2"/>
  <c r="G22" i="2"/>
  <c r="J21" i="2"/>
  <c r="I21" i="2"/>
  <c r="F21" i="2"/>
  <c r="G21" i="2" s="1"/>
  <c r="J20" i="2"/>
  <c r="I20" i="2"/>
  <c r="G20" i="2"/>
  <c r="J19" i="2"/>
  <c r="I19" i="2"/>
  <c r="F19" i="2"/>
  <c r="J18" i="2"/>
  <c r="I18" i="2"/>
  <c r="F18" i="2"/>
  <c r="J17" i="2"/>
  <c r="I17" i="2"/>
  <c r="F17" i="2"/>
  <c r="J16" i="2"/>
  <c r="I16" i="2"/>
  <c r="F16" i="2"/>
  <c r="J15" i="2"/>
  <c r="I15" i="2"/>
  <c r="G15" i="2"/>
  <c r="J14" i="2"/>
  <c r="I14" i="2"/>
  <c r="F14" i="2"/>
  <c r="J13" i="2"/>
  <c r="I13" i="2"/>
  <c r="G13" i="2"/>
  <c r="J12" i="2"/>
  <c r="I12" i="2"/>
  <c r="F12" i="2"/>
  <c r="J11" i="2"/>
  <c r="I11" i="2"/>
  <c r="F11" i="2"/>
  <c r="J10" i="2"/>
  <c r="I10" i="2"/>
  <c r="F10" i="2"/>
  <c r="J9" i="2"/>
  <c r="I9" i="2"/>
  <c r="F9" i="2"/>
  <c r="J8" i="2"/>
  <c r="I8" i="2"/>
  <c r="F8" i="2"/>
  <c r="G8" i="2" s="1"/>
  <c r="J158" i="1"/>
  <c r="I158" i="1"/>
  <c r="F158" i="1"/>
  <c r="G158" i="1" s="1"/>
  <c r="J157" i="1"/>
  <c r="I157" i="1"/>
  <c r="F157" i="1"/>
  <c r="J156" i="1"/>
  <c r="I156" i="1"/>
  <c r="F156" i="1"/>
  <c r="G156" i="1" s="1"/>
  <c r="J155" i="1"/>
  <c r="I155" i="1"/>
  <c r="F155" i="1"/>
  <c r="J154" i="1"/>
  <c r="I154" i="1"/>
  <c r="J153" i="1"/>
  <c r="I153" i="1"/>
  <c r="F153" i="1"/>
  <c r="J152" i="1"/>
  <c r="I152" i="1"/>
  <c r="J151" i="1"/>
  <c r="I151" i="1"/>
  <c r="J150" i="1"/>
  <c r="I150" i="1"/>
  <c r="G150" i="1"/>
  <c r="J149" i="1"/>
  <c r="I149" i="1"/>
  <c r="F149" i="1"/>
  <c r="G149" i="1" s="1"/>
  <c r="J148" i="1"/>
  <c r="I148" i="1"/>
  <c r="F148" i="1"/>
  <c r="G148" i="1" s="1"/>
  <c r="J147" i="1"/>
  <c r="I147" i="1"/>
  <c r="F147" i="1"/>
  <c r="G147" i="1" s="1"/>
  <c r="J146" i="1"/>
  <c r="I146" i="1"/>
  <c r="F146" i="1"/>
  <c r="G146" i="1" s="1"/>
  <c r="J145" i="1"/>
  <c r="I145" i="1"/>
  <c r="G145" i="1"/>
  <c r="J144" i="1"/>
  <c r="I144" i="1"/>
  <c r="F144" i="1"/>
  <c r="J143" i="1"/>
  <c r="I143" i="1"/>
  <c r="F143" i="1"/>
  <c r="J142" i="1"/>
  <c r="I142" i="1"/>
  <c r="F142" i="1"/>
  <c r="J141" i="1"/>
  <c r="I141" i="1"/>
  <c r="F141" i="1"/>
  <c r="J140" i="1"/>
  <c r="I140" i="1"/>
  <c r="J139" i="1"/>
  <c r="I139" i="1"/>
  <c r="F139" i="1"/>
  <c r="J138" i="1"/>
  <c r="I138" i="1"/>
  <c r="F138" i="1"/>
  <c r="J137" i="1"/>
  <c r="I137" i="1"/>
  <c r="F137" i="1"/>
  <c r="J136" i="1"/>
  <c r="I136" i="1"/>
  <c r="F136" i="1"/>
  <c r="J135" i="1"/>
  <c r="I135" i="1"/>
  <c r="F135" i="1"/>
  <c r="J134" i="1"/>
  <c r="I134" i="1"/>
  <c r="F134" i="1"/>
  <c r="J133" i="1"/>
  <c r="I133" i="1"/>
  <c r="F133" i="1"/>
  <c r="J132" i="1"/>
  <c r="I132" i="1"/>
  <c r="F132" i="1"/>
  <c r="J131" i="1"/>
  <c r="I131" i="1"/>
  <c r="J130" i="1"/>
  <c r="I130" i="1"/>
  <c r="J129" i="1"/>
  <c r="I129" i="1"/>
  <c r="J128" i="1"/>
  <c r="I128" i="1"/>
  <c r="F128" i="1"/>
  <c r="J127" i="1"/>
  <c r="I127" i="1"/>
  <c r="J126" i="1"/>
  <c r="I126" i="1"/>
  <c r="F126" i="1"/>
  <c r="J125" i="1"/>
  <c r="I125" i="1"/>
  <c r="J124" i="1"/>
  <c r="I124" i="1"/>
  <c r="F124" i="1"/>
  <c r="J123" i="1"/>
  <c r="I123" i="1"/>
  <c r="F123" i="1"/>
  <c r="J122" i="1"/>
  <c r="I122" i="1"/>
  <c r="F122" i="1"/>
  <c r="J121" i="1"/>
  <c r="I121" i="1"/>
  <c r="G121" i="1"/>
  <c r="J120" i="1"/>
  <c r="I120" i="1"/>
  <c r="F120" i="1"/>
  <c r="G120" i="1" s="1"/>
  <c r="J119" i="1"/>
  <c r="I119" i="1"/>
  <c r="G119" i="1"/>
  <c r="J118" i="1"/>
  <c r="I118" i="1"/>
  <c r="G118" i="1"/>
  <c r="J117" i="1"/>
  <c r="I117" i="1"/>
  <c r="G117" i="1"/>
  <c r="J116" i="1"/>
  <c r="I116" i="1"/>
  <c r="G116" i="1"/>
  <c r="J115" i="1"/>
  <c r="I115" i="1"/>
  <c r="G115" i="1"/>
  <c r="J114" i="1"/>
  <c r="I114" i="1"/>
  <c r="G114" i="1"/>
  <c r="J113" i="1"/>
  <c r="I113" i="1"/>
  <c r="G113" i="1"/>
  <c r="J112" i="1"/>
  <c r="I112" i="1"/>
  <c r="F112" i="1"/>
  <c r="G112" i="1" s="1"/>
  <c r="J111" i="1"/>
  <c r="I111" i="1"/>
  <c r="F111" i="1"/>
  <c r="G111" i="1" s="1"/>
  <c r="J110" i="1"/>
  <c r="I110" i="1"/>
  <c r="F110" i="1"/>
  <c r="G110" i="1" s="1"/>
  <c r="J109" i="1"/>
  <c r="I109" i="1"/>
  <c r="G109" i="1"/>
  <c r="J108" i="1"/>
  <c r="I108" i="1"/>
  <c r="F108" i="1"/>
  <c r="G108" i="1" s="1"/>
  <c r="J107" i="1"/>
  <c r="I107" i="1"/>
  <c r="F107" i="1"/>
  <c r="G107" i="1" s="1"/>
  <c r="J106" i="1"/>
  <c r="I106" i="1"/>
  <c r="F106" i="1"/>
  <c r="G106" i="1" s="1"/>
  <c r="J105" i="1"/>
  <c r="I105" i="1"/>
  <c r="F105" i="1"/>
  <c r="G105" i="1" s="1"/>
  <c r="J104" i="1"/>
  <c r="I104" i="1"/>
  <c r="F104" i="1"/>
  <c r="G104" i="1" s="1"/>
  <c r="J103" i="1"/>
  <c r="I103" i="1"/>
  <c r="F103" i="1"/>
  <c r="G103" i="1" s="1"/>
  <c r="J102" i="1"/>
  <c r="I102" i="1"/>
  <c r="F102" i="1"/>
  <c r="G102" i="1" s="1"/>
  <c r="J101" i="1"/>
  <c r="I101" i="1"/>
  <c r="F101" i="1"/>
  <c r="G101" i="1" s="1"/>
  <c r="J100" i="1"/>
  <c r="I100" i="1"/>
  <c r="G100" i="1"/>
  <c r="J99" i="1"/>
  <c r="I99" i="1"/>
  <c r="F99" i="1"/>
  <c r="G99" i="1" s="1"/>
  <c r="J98" i="1"/>
  <c r="I98" i="1"/>
  <c r="F98" i="1"/>
  <c r="G98" i="1" s="1"/>
  <c r="J97" i="1"/>
  <c r="I97" i="1"/>
  <c r="F97" i="1"/>
  <c r="G97" i="1" s="1"/>
  <c r="J96" i="1"/>
  <c r="I96" i="1"/>
  <c r="F96" i="1"/>
  <c r="G96" i="1" s="1"/>
  <c r="J95" i="1"/>
  <c r="I95" i="1"/>
  <c r="G95" i="1"/>
  <c r="J94" i="1"/>
  <c r="I94" i="1"/>
  <c r="F94" i="1"/>
  <c r="G94" i="1" s="1"/>
  <c r="J93" i="1"/>
  <c r="I93" i="1"/>
  <c r="G93" i="1"/>
  <c r="J92" i="1"/>
  <c r="I92" i="1"/>
  <c r="G92" i="1"/>
  <c r="J91" i="1"/>
  <c r="I91" i="1"/>
  <c r="G91" i="1"/>
  <c r="J90" i="1"/>
  <c r="I90" i="1"/>
  <c r="G90" i="1"/>
  <c r="J89" i="1"/>
  <c r="I89" i="1"/>
  <c r="F89" i="1"/>
  <c r="G89" i="1" s="1"/>
  <c r="J88" i="1"/>
  <c r="I88" i="1"/>
  <c r="F88" i="1"/>
  <c r="G88" i="1" s="1"/>
  <c r="J87" i="1"/>
  <c r="I87" i="1"/>
  <c r="G87" i="1"/>
  <c r="J86" i="1"/>
  <c r="I86" i="1"/>
  <c r="J85" i="1"/>
  <c r="I85" i="1"/>
  <c r="J84" i="1"/>
  <c r="I84" i="1"/>
  <c r="J83" i="1"/>
  <c r="I83" i="1"/>
  <c r="J82" i="1"/>
  <c r="I82" i="1"/>
  <c r="J81" i="1"/>
  <c r="I81" i="1"/>
  <c r="J80" i="1"/>
  <c r="I80" i="1"/>
  <c r="J79" i="1"/>
  <c r="I79" i="1"/>
  <c r="J78" i="1"/>
  <c r="I78" i="1"/>
  <c r="F78" i="1"/>
  <c r="J77" i="1"/>
  <c r="I77" i="1"/>
  <c r="F77" i="1"/>
  <c r="J76" i="1"/>
  <c r="I76" i="1"/>
  <c r="F76" i="1"/>
  <c r="J75" i="1"/>
  <c r="I75" i="1"/>
  <c r="G75" i="1"/>
  <c r="J74" i="1"/>
  <c r="I74" i="1"/>
  <c r="F74" i="1"/>
  <c r="G74" i="1" s="1"/>
  <c r="J73" i="1"/>
  <c r="I73" i="1"/>
  <c r="G73" i="1"/>
  <c r="J72" i="1"/>
  <c r="I72" i="1"/>
  <c r="F72" i="1"/>
  <c r="G72" i="1" s="1"/>
  <c r="J71" i="1"/>
  <c r="I71" i="1"/>
  <c r="G71" i="1"/>
  <c r="J70" i="1"/>
  <c r="I70" i="1"/>
  <c r="F70" i="1"/>
  <c r="G70" i="1" s="1"/>
  <c r="J69" i="1"/>
  <c r="I69" i="1"/>
  <c r="G69" i="1"/>
  <c r="J68" i="1"/>
  <c r="I68" i="1"/>
  <c r="G68" i="1"/>
  <c r="J67" i="1"/>
  <c r="I67" i="1"/>
  <c r="G67" i="1"/>
  <c r="J66" i="1"/>
  <c r="I66" i="1"/>
  <c r="F66" i="1"/>
  <c r="G66" i="1" s="1"/>
  <c r="J65" i="1"/>
  <c r="I65" i="1"/>
  <c r="F65" i="1"/>
  <c r="G65" i="1" s="1"/>
  <c r="J64" i="1"/>
  <c r="I64" i="1"/>
  <c r="G64" i="1"/>
  <c r="J63" i="1"/>
  <c r="I63" i="1"/>
  <c r="F63" i="1"/>
  <c r="G63" i="1" s="1"/>
  <c r="J62" i="1"/>
  <c r="I62" i="1"/>
  <c r="F62" i="1"/>
  <c r="G62" i="1" s="1"/>
  <c r="J61" i="1"/>
  <c r="I61" i="1"/>
  <c r="G61" i="1"/>
  <c r="J60" i="1"/>
  <c r="I60" i="1"/>
  <c r="G60" i="1"/>
  <c r="J59" i="1"/>
  <c r="I59" i="1"/>
  <c r="F59" i="1"/>
  <c r="G59" i="1" s="1"/>
  <c r="J58" i="1"/>
  <c r="I58" i="1"/>
  <c r="G58" i="1"/>
  <c r="J57" i="1"/>
  <c r="I57" i="1"/>
  <c r="G57" i="1"/>
  <c r="J56" i="1"/>
  <c r="I56" i="1"/>
  <c r="G56" i="1"/>
  <c r="J55" i="1"/>
  <c r="I55" i="1"/>
  <c r="F55" i="1"/>
  <c r="J54" i="1"/>
  <c r="I54" i="1"/>
  <c r="G54" i="1"/>
  <c r="J53" i="1"/>
  <c r="I53" i="1"/>
  <c r="F53" i="1"/>
  <c r="G53" i="1" s="1"/>
  <c r="J52" i="1"/>
  <c r="I52" i="1"/>
  <c r="F52" i="1"/>
  <c r="G52" i="1" s="1"/>
  <c r="J51" i="1"/>
  <c r="I51" i="1"/>
  <c r="F51" i="1"/>
  <c r="G51" i="1" s="1"/>
  <c r="J50" i="1"/>
  <c r="I50" i="1"/>
  <c r="F50" i="1"/>
  <c r="G50" i="1" s="1"/>
  <c r="J49" i="1"/>
  <c r="I49" i="1"/>
  <c r="F49" i="1"/>
  <c r="G49" i="1" s="1"/>
  <c r="J48" i="1"/>
  <c r="I48" i="1"/>
  <c r="G48" i="1"/>
  <c r="J47" i="1"/>
  <c r="I47" i="1"/>
  <c r="F47" i="1"/>
  <c r="G47" i="1" s="1"/>
  <c r="J46" i="1"/>
  <c r="I46" i="1"/>
  <c r="F46" i="1"/>
  <c r="G46" i="1" s="1"/>
  <c r="J45" i="1"/>
  <c r="I45" i="1"/>
  <c r="F45" i="1"/>
  <c r="G45" i="1" s="1"/>
  <c r="J44" i="1"/>
  <c r="I44" i="1"/>
  <c r="F44" i="1"/>
  <c r="G44" i="1" s="1"/>
  <c r="J43" i="1"/>
  <c r="I43" i="1"/>
  <c r="F43" i="1"/>
  <c r="G43" i="1" s="1"/>
  <c r="J42" i="1"/>
  <c r="I42" i="1"/>
  <c r="F42" i="1"/>
  <c r="G42" i="1" s="1"/>
  <c r="J41" i="1"/>
  <c r="I41" i="1"/>
  <c r="F41" i="1"/>
  <c r="G41" i="1" s="1"/>
  <c r="J40" i="1"/>
  <c r="I40" i="1"/>
  <c r="F40" i="1"/>
  <c r="G40" i="1" s="1"/>
  <c r="J39" i="1"/>
  <c r="I39" i="1"/>
  <c r="F39" i="1"/>
  <c r="G39" i="1" s="1"/>
  <c r="J38" i="1"/>
  <c r="I38" i="1"/>
  <c r="F38" i="1"/>
  <c r="G38" i="1" s="1"/>
  <c r="J37" i="1"/>
  <c r="I37" i="1"/>
  <c r="F37" i="1"/>
  <c r="G37" i="1" s="1"/>
  <c r="J36" i="1"/>
  <c r="I36" i="1"/>
  <c r="F36" i="1"/>
  <c r="G36" i="1" s="1"/>
  <c r="J35" i="1"/>
  <c r="I35" i="1"/>
  <c r="G35" i="1"/>
  <c r="J34" i="1"/>
  <c r="I34" i="1"/>
  <c r="F34" i="1"/>
  <c r="G34" i="1" s="1"/>
  <c r="J33" i="1"/>
  <c r="I33" i="1"/>
  <c r="F33" i="1"/>
  <c r="G33" i="1" s="1"/>
  <c r="J32" i="1"/>
  <c r="I32" i="1"/>
  <c r="F32" i="1"/>
  <c r="G32" i="1" s="1"/>
  <c r="J31" i="1"/>
  <c r="I31" i="1"/>
  <c r="F31" i="1"/>
  <c r="J30" i="1"/>
  <c r="I30" i="1"/>
  <c r="F30" i="1"/>
  <c r="G30" i="1" s="1"/>
  <c r="J29" i="1"/>
  <c r="I29" i="1"/>
  <c r="F29" i="1"/>
  <c r="J28" i="1"/>
  <c r="I28" i="1"/>
  <c r="F28" i="1"/>
  <c r="G28" i="1" s="1"/>
  <c r="J27" i="1"/>
  <c r="I27" i="1"/>
  <c r="F27" i="1"/>
  <c r="G27" i="1" s="1"/>
  <c r="J26" i="1"/>
  <c r="I26" i="1"/>
  <c r="F26" i="1"/>
  <c r="G26" i="1" s="1"/>
  <c r="J25" i="1"/>
  <c r="I25" i="1"/>
  <c r="F25" i="1"/>
  <c r="J24" i="1"/>
  <c r="I24" i="1"/>
  <c r="F24" i="1"/>
  <c r="G24" i="1" s="1"/>
  <c r="J23" i="1"/>
  <c r="I23" i="1"/>
  <c r="F23" i="1"/>
  <c r="G23" i="1" s="1"/>
  <c r="J22" i="1"/>
  <c r="I22" i="1"/>
  <c r="F22" i="1"/>
  <c r="G22" i="1" s="1"/>
  <c r="J21" i="1"/>
  <c r="I21" i="1"/>
  <c r="F21" i="1"/>
  <c r="J20" i="1"/>
  <c r="I20" i="1"/>
  <c r="F20" i="1"/>
  <c r="G20" i="1" s="1"/>
  <c r="J19" i="1"/>
  <c r="I19" i="1"/>
  <c r="F19" i="1"/>
  <c r="G19" i="1" s="1"/>
  <c r="J18" i="1"/>
  <c r="I18" i="1"/>
  <c r="F18" i="1"/>
  <c r="G18" i="1" s="1"/>
  <c r="J17" i="1"/>
  <c r="I17" i="1"/>
  <c r="G17" i="1"/>
  <c r="J16" i="1"/>
  <c r="I16" i="1"/>
  <c r="J15" i="1"/>
  <c r="I15" i="1"/>
  <c r="G15" i="1"/>
  <c r="J14" i="1"/>
  <c r="I14" i="1"/>
  <c r="G14" i="1"/>
  <c r="J13" i="1"/>
  <c r="I13" i="1"/>
  <c r="F13" i="1"/>
  <c r="G13" i="1" s="1"/>
  <c r="J12" i="1"/>
  <c r="I12" i="1"/>
  <c r="F12" i="1"/>
  <c r="G12" i="1" s="1"/>
  <c r="J11" i="1"/>
  <c r="I11" i="1"/>
  <c r="F11" i="1"/>
  <c r="G11" i="1" s="1"/>
  <c r="J10" i="1"/>
  <c r="I10" i="1"/>
  <c r="F10" i="1"/>
  <c r="G10" i="1" s="1"/>
  <c r="J9" i="1"/>
  <c r="I9" i="1"/>
  <c r="F9" i="1"/>
  <c r="G9" i="1" s="1"/>
  <c r="J8" i="1"/>
  <c r="I8" i="1"/>
  <c r="F8" i="1"/>
  <c r="G8" i="1" s="1"/>
  <c r="G55" i="5" l="1"/>
  <c r="G9" i="5"/>
  <c r="G54" i="5"/>
  <c r="G14" i="4"/>
  <c r="G13" i="4"/>
  <c r="G12" i="4"/>
  <c r="G26" i="4"/>
  <c r="G31" i="4"/>
  <c r="G32" i="4"/>
  <c r="G27" i="4"/>
  <c r="G79" i="2"/>
  <c r="G47" i="2"/>
  <c r="G72" i="2"/>
  <c r="G65" i="2"/>
  <c r="G45" i="2"/>
  <c r="G73" i="2"/>
  <c r="G33" i="2"/>
  <c r="G69" i="2"/>
  <c r="G77" i="2"/>
  <c r="G14" i="2"/>
  <c r="G67" i="2"/>
  <c r="G75" i="2"/>
  <c r="G41" i="2"/>
  <c r="G71" i="2"/>
  <c r="G29" i="2"/>
  <c r="G44" i="2"/>
  <c r="G27" i="2"/>
  <c r="G43" i="2"/>
  <c r="G21" i="1"/>
  <c r="G25" i="1"/>
  <c r="G31" i="1"/>
  <c r="G78" i="1"/>
  <c r="G79" i="1"/>
  <c r="G81" i="1"/>
  <c r="G122" i="1"/>
  <c r="G125" i="1"/>
  <c r="G128" i="1"/>
  <c r="G131" i="1"/>
  <c r="G134" i="1"/>
  <c r="G137" i="1"/>
  <c r="G140" i="1"/>
  <c r="G143" i="1"/>
  <c r="G9" i="2"/>
  <c r="G29" i="1"/>
  <c r="G124" i="1"/>
  <c r="G127" i="1"/>
  <c r="G130" i="1"/>
  <c r="G133" i="1"/>
  <c r="G136" i="1"/>
  <c r="G139" i="1"/>
  <c r="G142" i="1"/>
  <c r="G11" i="2"/>
  <c r="G12" i="2"/>
  <c r="G16" i="1"/>
  <c r="G76" i="1"/>
  <c r="G77" i="1"/>
  <c r="G80" i="1"/>
  <c r="G82" i="1"/>
  <c r="G123" i="1"/>
  <c r="G126" i="1"/>
  <c r="G129" i="1"/>
  <c r="G132" i="1"/>
  <c r="G135" i="1"/>
  <c r="G138" i="1"/>
  <c r="G141" i="1"/>
  <c r="G144" i="1"/>
  <c r="G10" i="2"/>
  <c r="G39" i="2"/>
  <c r="G55" i="1"/>
  <c r="G83" i="1"/>
  <c r="G84" i="1"/>
  <c r="G85" i="1"/>
  <c r="G86" i="1"/>
  <c r="G151" i="1"/>
  <c r="G152" i="1"/>
  <c r="G153" i="1"/>
  <c r="G154" i="1"/>
  <c r="G155" i="1"/>
  <c r="G17" i="2"/>
  <c r="G19" i="2"/>
  <c r="G42" i="2"/>
  <c r="G60" i="2"/>
  <c r="G61" i="2"/>
  <c r="G63" i="2"/>
  <c r="G70" i="2"/>
  <c r="G74" i="2"/>
  <c r="H6" i="6"/>
  <c r="G59" i="2"/>
  <c r="G62" i="2"/>
  <c r="G64" i="2"/>
  <c r="G52" i="5"/>
  <c r="H8" i="6"/>
  <c r="G157" i="1"/>
  <c r="G16" i="2"/>
  <c r="G18" i="2"/>
  <c r="G25" i="2"/>
  <c r="G38" i="2"/>
  <c r="G40" i="2"/>
  <c r="G66" i="2"/>
  <c r="G68" i="2"/>
  <c r="G76" i="2"/>
  <c r="H7" i="6"/>
  <c r="G37" i="2"/>
  <c r="G28" i="3"/>
  <c r="G31" i="2"/>
  <c r="G56" i="5" l="1"/>
  <c r="G39" i="4"/>
  <c r="G159" i="1"/>
  <c r="G88" i="2"/>
</calcChain>
</file>

<file path=xl/sharedStrings.xml><?xml version="1.0" encoding="utf-8"?>
<sst xmlns="http://schemas.openxmlformats.org/spreadsheetml/2006/main" count="778" uniqueCount="82">
  <si>
    <t xml:space="preserve">             </t>
  </si>
  <si>
    <t>г.Сходня ( За Химками, 10 км от МКАД), ул.Некрасова, д.2 (территория завода "Сходня Мебель")</t>
  </si>
  <si>
    <t>Порода: Дуб Кавказ</t>
  </si>
  <si>
    <r>
      <rPr>
        <b/>
        <sz val="10"/>
        <color theme="1"/>
        <rFont val="Arial"/>
      </rPr>
      <t xml:space="preserve">Сорт Экстра: </t>
    </r>
    <r>
      <rPr>
        <sz val="10"/>
        <color theme="1"/>
        <rFont val="Arial"/>
      </rPr>
      <t>Верхняя пласть - смешанный распил, цветовая неоднородность, живой сучек до 3мм, не более 2 штук на 1м2. Заболонь, гниль, трещины, червоточина - не допускаются.
Нижняя пласть – смешанный распил, цветовая неоднородность, заболонь, червоточина. Темный сучек до 10мм, не более 5шт на 1м2. Шпаклеванные трещины усушки до 20мм. Гниль - не допускается.</t>
    </r>
    <r>
      <rPr>
        <b/>
        <sz val="10"/>
        <color theme="1"/>
        <rFont val="Arial"/>
      </rPr>
      <t xml:space="preserve">
Сорт АС: </t>
    </r>
    <r>
      <rPr>
        <sz val="10"/>
        <color theme="1"/>
        <rFont val="Arial"/>
      </rPr>
      <t>Верхняя пласть- смешанный распил,</t>
    </r>
    <r>
      <rPr>
        <b/>
        <sz val="10"/>
        <color theme="1"/>
        <rFont val="Arial"/>
      </rPr>
      <t xml:space="preserve"> цветовая неоднородность</t>
    </r>
    <r>
      <rPr>
        <sz val="10"/>
        <color theme="1"/>
        <rFont val="Arial"/>
      </rPr>
      <t xml:space="preserve">, живой сучек до 3мм, не более 2 штук на 1м2. Заболонь, гниль, трещины, червоточина - не допускаются.
Нижняя пласть - смешанный распил, цветовая неоднородность, в том числе заболонь. Темный сучек до 30мм, в любых количествах. Следы шпаклевки, гниль, трещины, червоточина - допускаются.
</t>
    </r>
    <r>
      <rPr>
        <b/>
        <sz val="10"/>
        <color theme="1"/>
        <rFont val="Arial"/>
      </rPr>
      <t>Сорт ВС</t>
    </r>
    <r>
      <rPr>
        <sz val="10"/>
        <color theme="1"/>
        <rFont val="Arial"/>
      </rPr>
      <t>: Верхняя пласть - смешанный распил, цветовая неоднородность, в том числе заболонь. Темный сучек до 10мм, не более 5шт на 1м2. Допускается не более 10% ламелей с червоточиной и шпаклеванными трещинами. Гниль не допускается.</t>
    </r>
    <r>
      <rPr>
        <b/>
        <sz val="10"/>
        <color theme="1"/>
        <rFont val="Arial"/>
      </rPr>
      <t xml:space="preserve">
</t>
    </r>
    <r>
      <rPr>
        <sz val="10"/>
        <color theme="1"/>
        <rFont val="Arial"/>
      </rPr>
      <t>Нижняя пласть - смешанный распил, цветовая неоднородность, в том числе заболонь. Темный сучек до 30мм, в любых количествах. Следы шпаклевки, гниль, трещины, червоточина - допускаются.</t>
    </r>
    <r>
      <rPr>
        <b/>
        <sz val="10"/>
        <color theme="1"/>
        <rFont val="Arial"/>
      </rPr>
      <t xml:space="preserve">
</t>
    </r>
    <r>
      <rPr>
        <i/>
        <sz val="10"/>
        <color rgb="FF980000"/>
        <rFont val="Arial"/>
      </rPr>
      <t>**Для всех сортов - Внутри ламелей допускаются любые дефекты, в т.ч. трещины усушки, выпадающие сучки.  Данные дефекты подлежат самостоятельной реставрации (шпаклеванию) после распиловки щита.</t>
    </r>
  </si>
  <si>
    <t>с</t>
  </si>
  <si>
    <t>Тип</t>
  </si>
  <si>
    <t>Длина</t>
  </si>
  <si>
    <t>Ширина</t>
  </si>
  <si>
    <t>Толщина</t>
  </si>
  <si>
    <t>Кол-во</t>
  </si>
  <si>
    <t>м3</t>
  </si>
  <si>
    <t>Цена м3</t>
  </si>
  <si>
    <t>Цена м2</t>
  </si>
  <si>
    <t>Цена шт</t>
  </si>
  <si>
    <t>Дуб</t>
  </si>
  <si>
    <t>Цельноламельные сорт Экстра</t>
  </si>
  <si>
    <t>Цельноламельные АВ (под темную покраску)</t>
  </si>
  <si>
    <t>Цельноламельные сорт ВС</t>
  </si>
  <si>
    <t>Цельноламельные сорт АС</t>
  </si>
  <si>
    <t>Цельноламельные АВ (ламель 22-28мм)</t>
  </si>
  <si>
    <t>Цельноламельные АВ  (под темную покраску)</t>
  </si>
  <si>
    <t>Цельноламельные сорт СС</t>
  </si>
  <si>
    <t>Сращенный сорт Экстра</t>
  </si>
  <si>
    <t>Сращенный сорт Экстра (ламель 22-28мм)</t>
  </si>
  <si>
    <t>Сращенный сорт АВ (под темную покраску)</t>
  </si>
  <si>
    <t>Сращенный сорт Экстра (тетива)</t>
  </si>
  <si>
    <t>Сращенный сорт ВС</t>
  </si>
  <si>
    <t>Сращенный сорт СС</t>
  </si>
  <si>
    <t>Влажность древесины  8%+/-2%</t>
  </si>
  <si>
    <t xml:space="preserve">Допуск по толщине   0мм                         </t>
  </si>
  <si>
    <t>Допуски по ширине  0+3мм</t>
  </si>
  <si>
    <t>Допуск по длине  0+5мм</t>
  </si>
  <si>
    <t>Ширина ламели  40-45 мм.</t>
  </si>
  <si>
    <t>Шлифование  зернистость  не  менее  Р-120</t>
  </si>
  <si>
    <t>Склеивание на гладкую фугу, клей  Kleiberit 303.2  категория нагрузки D3</t>
  </si>
  <si>
    <t>г.Сходня ( За Химками, 10 км от МКАД), ул.Некрасова, д.2 ( территория завода "Сходня Мебель")</t>
  </si>
  <si>
    <t>Ширина ламели: 40-45мм</t>
  </si>
  <si>
    <r>
      <rPr>
        <b/>
        <sz val="10"/>
        <color rgb="FF000000"/>
        <rFont val="Arial"/>
      </rPr>
      <t>Сорт Экстра:</t>
    </r>
    <r>
      <rPr>
        <sz val="11"/>
        <color rgb="FF000000"/>
        <rFont val="Calibri"/>
      </rPr>
      <t xml:space="preserve"> Верхняя пласть - смешанный распил, цветовая неоднородность, живой сучек до 3мм, не более 2 штук на 1м2. Заболонь, гниль, трещины, червоточина - не допускаются.
Нижняя пласть – смешанный распил, цветовая неоднородность, заболонь, червоточина. Темный сучек до 10мм, не более 5шт на 1м2. Шпаклеванные трещины усушки до 20мм. Гниль - не допускается.
</t>
    </r>
    <r>
      <rPr>
        <b/>
        <sz val="10"/>
        <color rgb="FF000000"/>
        <rFont val="Arial"/>
      </rPr>
      <t xml:space="preserve">Сорт АС: </t>
    </r>
    <r>
      <rPr>
        <sz val="11"/>
        <color rgb="FF000000"/>
        <rFont val="Calibri"/>
      </rPr>
      <t xml:space="preserve">Верхняя пласть- смешанный распил, цветовая неоднородность, живой сучек до 3мм, не более 2 штук на 1м2. Заболонь, гниль, трещины, червоточина - не допускаются.
Нижняя пласть - смешанный распил, цветовая неоднородность, в том числе заболонь. Темный сучек до 30мм, в любых количествах. Следы шпаклевки, гниль, трещины, червоточина - допускаются.
</t>
    </r>
    <r>
      <rPr>
        <b/>
        <sz val="10"/>
        <color rgb="FF000000"/>
        <rFont val="Arial"/>
      </rPr>
      <t>Сорт ВС:</t>
    </r>
    <r>
      <rPr>
        <sz val="11"/>
        <color rgb="FF000000"/>
        <rFont val="Calibri"/>
      </rPr>
      <t xml:space="preserve"> Верхняя пласть - смешанный распил, цветовая неоднородность, в том числе заболонь. Темный сучек до 10мм, не более 5шт на 1м2. Допускается не более 10% ламелей с червоточиной и шпаклеванными трещинами. Гниль не допускается.
Нижняя пласть - смешанный распил, цветовая неоднородность, в том числе заболонь. Темный сучек до 30мм, в любых количествах. Следы шпаклевки, гниль, трещины, червоточина - допускаются.
</t>
    </r>
    <r>
      <rPr>
        <sz val="11"/>
        <color rgb="FFFF0000"/>
        <rFont val="Calibri"/>
      </rPr>
      <t>*</t>
    </r>
    <r>
      <rPr>
        <i/>
        <sz val="10"/>
        <color rgb="FFFF0000"/>
        <rFont val="Arial"/>
      </rPr>
      <t>*Для всех сортов - Внутри ламелей допускаются любые дефекты, в т.ч. трещины усушки, выпадающие сучки.  Данные дефекты подлежат самостоятельной реставрации (шпаклеванию) после распиловки щита.</t>
    </r>
  </si>
  <si>
    <t>Цена за м3</t>
  </si>
  <si>
    <t>Цена за м2</t>
  </si>
  <si>
    <t>Цена за 1 шт</t>
  </si>
  <si>
    <t>Ясень</t>
  </si>
  <si>
    <t>Сращенный сорт Экстра (ламель 45-50мм)</t>
  </si>
  <si>
    <t>Сращенный сорт Экстра (ламель 45-50мм) откр шип</t>
  </si>
  <si>
    <t>Сращенный сорт Экстра (ламель 55мм)</t>
  </si>
  <si>
    <t>Сращенный сорт Экстра (ламель 35мм)</t>
  </si>
  <si>
    <t>Сращенный сорт AС</t>
  </si>
  <si>
    <t>Порода: Ясень Кавказ</t>
  </si>
  <si>
    <t>Сорт АВ – лицевая сторона бездефектная, на нижней пласти допускаются сучки до 10-15 мм, цветовая неоднородность.</t>
  </si>
  <si>
    <t>Влажность   древесины  8%+/-2%</t>
  </si>
  <si>
    <t>Порода: Дуб Монгольский</t>
  </si>
  <si>
    <r>
      <rPr>
        <b/>
        <sz val="10"/>
        <color theme="1"/>
        <rFont val="Arial"/>
      </rPr>
      <t xml:space="preserve">Сорт Экстра: </t>
    </r>
    <r>
      <rPr>
        <sz val="10"/>
        <color theme="1"/>
        <rFont val="Arial"/>
      </rPr>
      <t>Верхняя пласть - смешанный распил, цветовая неоднородность, живой сучек до 3мм, не более 2 штук на 1м2. Заболонь, гниль, трещины, червоточина - не допускаются.
Нижняя пласть – смешанный распил, цветовая неоднородность, заболонь, червоточина. Темный сучек до 10мм, не более 5шт на 1м2. Шпаклеванные трещины усушки до 20мм. Гниль - не допускается.</t>
    </r>
    <r>
      <rPr>
        <b/>
        <sz val="10"/>
        <color theme="1"/>
        <rFont val="Arial"/>
      </rPr>
      <t xml:space="preserve">
Сорт АС: </t>
    </r>
    <r>
      <rPr>
        <sz val="10"/>
        <color theme="1"/>
        <rFont val="Arial"/>
      </rPr>
      <t>Верхняя пласть- смешанный распил,</t>
    </r>
    <r>
      <rPr>
        <b/>
        <sz val="10"/>
        <color theme="1"/>
        <rFont val="Arial"/>
      </rPr>
      <t xml:space="preserve"> цветовая неоднородность</t>
    </r>
    <r>
      <rPr>
        <sz val="10"/>
        <color theme="1"/>
        <rFont val="Arial"/>
      </rPr>
      <t xml:space="preserve">, живой сучек до 3мм, не более 2 штук на 1м2. Заболонь, гниль, трещины, червоточина - не допускаются.
Нижняя пласть - смешанный распил, цветовая неоднородность, в том числе заболонь. Темный сучек до 30мм, в любых количествах. Следы шпаклевки, гниль, трещины, червоточина - допускаются.
</t>
    </r>
    <r>
      <rPr>
        <b/>
        <sz val="10"/>
        <color theme="1"/>
        <rFont val="Arial"/>
      </rPr>
      <t>Сорт ВС</t>
    </r>
    <r>
      <rPr>
        <sz val="10"/>
        <color theme="1"/>
        <rFont val="Arial"/>
      </rPr>
      <t>: Верхняя пласть - смешанный распил, цветовая неоднородность, в том числе заболонь. Темный сучек до 10мм, не более 5шт на 1м2. Допускается не более 10% ламелей с червоточиной и шпаклеванными трещинами. Гниль не допускается.</t>
    </r>
    <r>
      <rPr>
        <b/>
        <sz val="10"/>
        <color theme="1"/>
        <rFont val="Arial"/>
      </rPr>
      <t xml:space="preserve">
</t>
    </r>
    <r>
      <rPr>
        <sz val="10"/>
        <color theme="1"/>
        <rFont val="Arial"/>
      </rPr>
      <t>Нижняя пласть - смешанный распил, цветовая неоднородность, в том числе заболонь. Темный сучек до 30мм, в любых количествах. Следы шпаклевки, гниль, трещины, червоточина - допускаются.</t>
    </r>
    <r>
      <rPr>
        <b/>
        <sz val="10"/>
        <color theme="1"/>
        <rFont val="Arial"/>
      </rPr>
      <t xml:space="preserve">
</t>
    </r>
    <r>
      <rPr>
        <i/>
        <sz val="10"/>
        <color rgb="FF980000"/>
        <rFont val="Arial"/>
      </rPr>
      <t>**Для всех сортов - Внутри ламелей допускаются любые дефекты, в т.ч. трещины усушки, выпадающие сучки.  Данные дефекты подлежат самостоятельной реставрации (шпаклеванию) после распиловки щита.</t>
    </r>
  </si>
  <si>
    <t>Сращенные сорт Экстра</t>
  </si>
  <si>
    <t>Ширина ламели: 35-40мм</t>
  </si>
  <si>
    <r>
      <rPr>
        <b/>
        <sz val="10"/>
        <color rgb="FF000000"/>
        <rFont val="Arial"/>
      </rPr>
      <t>Сорт Экстра:</t>
    </r>
    <r>
      <rPr>
        <sz val="11"/>
        <color rgb="FF000000"/>
        <rFont val="Calibri"/>
      </rPr>
      <t xml:space="preserve"> Верхняя пласть - смешанный распил, цветовая неоднородность, живой сучек до 3мм, не более 2 штук на 1м2. Заболонь, гниль, трещины, червоточина - не допускаются.
Нижняя пласть – смешанный распил, цветовая неоднородность, заболонь, червоточина. Темный сучек до 10мм, не более 5шт на 1м2. Шпаклеванные трещины усушки до 20мм. Гниль - не допускается.
</t>
    </r>
    <r>
      <rPr>
        <b/>
        <sz val="10"/>
        <color rgb="FF000000"/>
        <rFont val="Arial"/>
      </rPr>
      <t xml:space="preserve">Сорт АС: </t>
    </r>
    <r>
      <rPr>
        <sz val="11"/>
        <color rgb="FF000000"/>
        <rFont val="Calibri"/>
      </rPr>
      <t xml:space="preserve">Верхняя пласть- смешанный распил, цветовая неоднородность, живой сучек до 3мм, не более 2 штук на 1м2. Заболонь, гниль, трещины, червоточина - не допускаются.
Нижняя пласть - смешанный распил, цветовая неоднородность, в том числе заболонь. Темный сучек до 30мм, в любых количествах. Следы шпаклевки, гниль, трещины, червоточина - допускаются.
</t>
    </r>
    <r>
      <rPr>
        <b/>
        <sz val="10"/>
        <color rgb="FF000000"/>
        <rFont val="Arial"/>
      </rPr>
      <t>Сорт ВС:</t>
    </r>
    <r>
      <rPr>
        <sz val="11"/>
        <color rgb="FF000000"/>
        <rFont val="Calibri"/>
      </rPr>
      <t xml:space="preserve"> Верхняя пласть - смешанный распил, цветовая неоднородность, в том числе заболонь. Темный сучек до 10мм, не более 5шт на 1м2. Допускается не более 10% ламелей с червоточиной и шпаклеванными трещинами. Гниль не допускается.
Нижняя пласть - смешанный распил, цветовая неоднородность, в том числе заболонь. Темный сучек до 30мм, в любых количествах. Следы шпаклевки, гниль, трещины, червоточина - допускаются.
</t>
    </r>
    <r>
      <rPr>
        <sz val="11"/>
        <color rgb="FFFF0000"/>
        <rFont val="Calibri"/>
      </rPr>
      <t>*</t>
    </r>
    <r>
      <rPr>
        <i/>
        <sz val="10"/>
        <color rgb="FFFF0000"/>
        <rFont val="Arial"/>
      </rPr>
      <t>*Для всех сортов - Внутри ламелей допускаются любые дефекты, в т.ч. трещины усушки, выпадающие сучки.  Данные дефекты подлежат самостоятельной реставрации (шпаклеванию) после распиловки щита.</t>
    </r>
  </si>
  <si>
    <t>Сращенный Экстра (узкая ламель)</t>
  </si>
  <si>
    <t>Порода: Ясень Маньчжурский</t>
  </si>
  <si>
    <t xml:space="preserve">Допуск по толщине   +0,3мм/-0мм                    </t>
  </si>
  <si>
    <t>Допуски по ширине  +2-5мм/-0мм</t>
  </si>
  <si>
    <t>Допуск по длине  +5-10мм/-0мм</t>
  </si>
  <si>
    <t>Ширина ламели  35-40 мм (Возможно использование 30-55мм)</t>
  </si>
  <si>
    <t>Абразивная лента (с двух сторон): зернистостью 120ед.</t>
  </si>
  <si>
    <t>Клей - 2х компонентный "Maruka Bond EX862R" (Япония)</t>
  </si>
  <si>
    <t>Лиственница- Сибирь</t>
  </si>
  <si>
    <r>
      <rPr>
        <b/>
        <sz val="10"/>
        <color theme="1"/>
        <rFont val="Arial"/>
      </rPr>
      <t>Сорт Экстра:</t>
    </r>
    <r>
      <rPr>
        <sz val="10"/>
        <color theme="1"/>
        <rFont val="Arial"/>
      </rPr>
      <t xml:space="preserve"> Верхняя пласть - цветовая неоднородность, живой сучек до 3мм, не более 2 штук на 1м2. Заболонь, гниль, трещины, червоточина - не допускаются.
Нижняя пласть – цветовая неоднородность, заболонь, червоточина. Темный сучек до 10мм, не более 5шт на 1м2. Шпаклеванные трещины усушки до 20мм. Гниль - не допускается.
</t>
    </r>
    <r>
      <rPr>
        <b/>
        <sz val="10"/>
        <color theme="1"/>
        <rFont val="Arial"/>
      </rPr>
      <t xml:space="preserve">Сорт ВС: </t>
    </r>
    <r>
      <rPr>
        <sz val="10"/>
        <color theme="1"/>
        <rFont val="Arial"/>
      </rPr>
      <t xml:space="preserve">Верхняя пласть - цветовая неоднородность, в том числе заболонь. Темный сучек до 10мм, не более 5шт на 1м2. Допускается не более 10% ламелей с червоточиной и шпаклеванными трещинами. 
Гниль не допускается.
Нижняя пласть - цветовая неоднородность, в том числе заболонь. Темный сучек до 30мм, в любых количествах. Следы шпаклевки, гниль, трещины, червоточина - допускаются.
</t>
    </r>
    <r>
      <rPr>
        <i/>
        <sz val="10"/>
        <color theme="1"/>
        <rFont val="Arial"/>
      </rPr>
      <t>*Во всех сортах щиты имеют преимущественно радиальный распил.
Сращенные щиты в толщине 18мм склеены на открытый минишип.</t>
    </r>
    <r>
      <rPr>
        <sz val="10"/>
        <color theme="1"/>
        <rFont val="Arial"/>
      </rPr>
      <t xml:space="preserve">
</t>
    </r>
    <r>
      <rPr>
        <sz val="10"/>
        <color rgb="FFFF0000"/>
        <rFont val="Arial"/>
      </rPr>
      <t>**Для всех сортов - Внутри ламелей допускаются любые дефекты, в т.ч. трещины усушки, выпадающие сучки.  Данные дефекты подлежат самостоятельной реставрации (шпаклеванию) после распиловки щита.</t>
    </r>
  </si>
  <si>
    <t>Лиственница</t>
  </si>
  <si>
    <t>Сращенные сорт Экстра (открытый мини-шип)</t>
  </si>
  <si>
    <t>Сращенные сорт ВС (открытый мини-шип)</t>
  </si>
  <si>
    <t>Сращенные сорт ВС</t>
  </si>
  <si>
    <t>Порода: Лиственница Сибирь</t>
  </si>
  <si>
    <t>Влажность древесины 8%+/-2%</t>
  </si>
  <si>
    <t>Допуск по толщине 0мм</t>
  </si>
  <si>
    <t>Допуски по ширине 0+3мм</t>
  </si>
  <si>
    <t>Допуск по длине 0+5мм</t>
  </si>
  <si>
    <t>Ширина ламели 38-45 мм.</t>
  </si>
  <si>
    <t>Шлифование зернистость не менее Р-120</t>
  </si>
  <si>
    <t>Склеивание на гладкую фугу, клей Kleiberit категория нагрузки D4</t>
  </si>
  <si>
    <t>Заготовки под балясины и столбы</t>
  </si>
  <si>
    <t>Кавказ</t>
  </si>
  <si>
    <t>Цельноламельные ЭКСТРА</t>
  </si>
  <si>
    <t>Сращенные ЭКСТРА</t>
  </si>
  <si>
    <t>ДВ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</si>
</sst>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b/>
      <sz val="12"/>
      <color rgb="FF000080"/>
      <name val="Arial"/>
    </font>
    <font>
      <b/>
      <sz val="10"/>
      <color theme="1"/>
      <name val="Arial"/>
    </font>
    <font>
      <sz val="11"/>
      <name val="Calibri"/>
    </font>
    <font>
      <b/>
      <sz val="10"/>
      <color rgb="FF20124D"/>
      <name val="Arial"/>
    </font>
    <font>
      <sz val="10"/>
      <color rgb="FF000000"/>
      <name val="Arial"/>
    </font>
    <font>
      <sz val="10"/>
      <color theme="1"/>
      <name val="Arial"/>
    </font>
    <font>
      <b/>
      <sz val="10"/>
      <color rgb="FF073763"/>
      <name val="Arial"/>
    </font>
    <font>
      <sz val="11"/>
      <color theme="1"/>
      <name val="Arial"/>
    </font>
    <font>
      <b/>
      <sz val="10"/>
      <color rgb="FF000000"/>
      <name val="Arial"/>
    </font>
    <font>
      <b/>
      <sz val="10"/>
      <color rgb="FFFF0000"/>
      <name val="Arial"/>
    </font>
    <font>
      <b/>
      <sz val="10"/>
      <color rgb="FF003366"/>
      <name val="Arial"/>
    </font>
    <font>
      <b/>
      <sz val="12"/>
      <color rgb="FF333399"/>
      <name val="Arial"/>
    </font>
    <font>
      <sz val="11"/>
      <color theme="1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20124D"/>
      <name val="Calibri"/>
    </font>
    <font>
      <b/>
      <sz val="11"/>
      <color theme="1"/>
      <name val="Calibri"/>
      <scheme val="minor"/>
    </font>
    <font>
      <b/>
      <sz val="11"/>
      <color rgb="FF000000"/>
      <name val="Calibri"/>
      <scheme val="minor"/>
    </font>
    <font>
      <b/>
      <sz val="11"/>
      <color rgb="FF20124D"/>
      <name val="Calibri"/>
      <scheme val="minor"/>
    </font>
    <font>
      <sz val="11"/>
      <color rgb="FF000000"/>
      <name val="Arial"/>
    </font>
    <font>
      <b/>
      <sz val="11"/>
      <color theme="1"/>
      <name val="Arial"/>
    </font>
    <font>
      <b/>
      <sz val="11"/>
      <color theme="1"/>
      <name val="Calibri"/>
    </font>
    <font>
      <b/>
      <sz val="11"/>
      <color rgb="FFFF0000"/>
      <name val="Calibri"/>
    </font>
    <font>
      <i/>
      <sz val="10"/>
      <color rgb="FF980000"/>
      <name val="Arial"/>
    </font>
    <font>
      <sz val="11"/>
      <color rgb="FFFF0000"/>
      <name val="Calibri"/>
    </font>
    <font>
      <i/>
      <sz val="10"/>
      <color rgb="FFFF0000"/>
      <name val="Arial"/>
    </font>
    <font>
      <i/>
      <sz val="10"/>
      <color theme="1"/>
      <name val="Arial"/>
    </font>
    <font>
      <sz val="10"/>
      <color rgb="FFFF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3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0" fillId="0" borderId="0" xfId="0" applyFont="1"/>
    <xf numFmtId="0" fontId="3" fillId="0" borderId="0" xfId="0" applyFont="1"/>
    <xf numFmtId="0" fontId="3" fillId="2" borderId="1" xfId="0" applyFont="1" applyFill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6" fillId="2" borderId="6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6" fillId="0" borderId="1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7" fillId="0" borderId="13" xfId="0" applyFont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0" xfId="0" applyFont="1"/>
    <xf numFmtId="0" fontId="3" fillId="0" borderId="10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0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3" fillId="0" borderId="0" xfId="0" applyFont="1"/>
    <xf numFmtId="0" fontId="14" fillId="0" borderId="0" xfId="0" applyFont="1"/>
    <xf numFmtId="0" fontId="10" fillId="0" borderId="0" xfId="0" applyFont="1"/>
    <xf numFmtId="0" fontId="14" fillId="0" borderId="20" xfId="0" applyFont="1" applyBorder="1"/>
    <xf numFmtId="0" fontId="14" fillId="0" borderId="8" xfId="0" applyFont="1" applyBorder="1"/>
    <xf numFmtId="0" fontId="3" fillId="2" borderId="1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5" fillId="0" borderId="0" xfId="0" applyFont="1" applyAlignment="1">
      <alignment wrapText="1"/>
    </xf>
    <xf numFmtId="0" fontId="5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4" fillId="0" borderId="6" xfId="0" applyFont="1" applyBorder="1" applyAlignment="1"/>
    <xf numFmtId="0" fontId="14" fillId="0" borderId="0" xfId="0" applyFont="1" applyAlignment="1"/>
    <xf numFmtId="0" fontId="3" fillId="0" borderId="10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7" fillId="0" borderId="0" xfId="0" applyFont="1"/>
    <xf numFmtId="0" fontId="5" fillId="0" borderId="0" xfId="0" applyFont="1" applyAlignment="1">
      <alignment horizontal="center"/>
    </xf>
    <xf numFmtId="0" fontId="3" fillId="2" borderId="1" xfId="0" applyFont="1" applyFill="1" applyBorder="1" applyAlignment="1"/>
    <xf numFmtId="0" fontId="1" fillId="0" borderId="6" xfId="0" applyFont="1" applyBorder="1" applyAlignment="1">
      <alignment horizontal="center"/>
    </xf>
    <xf numFmtId="0" fontId="1" fillId="0" borderId="0" xfId="0" applyFont="1"/>
    <xf numFmtId="0" fontId="10" fillId="0" borderId="0" xfId="0" applyFont="1" applyAlignment="1"/>
    <xf numFmtId="0" fontId="18" fillId="0" borderId="0" xfId="0" applyFont="1" applyAlignment="1"/>
    <xf numFmtId="0" fontId="1" fillId="0" borderId="6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10" fillId="0" borderId="10" xfId="0" applyFont="1" applyBorder="1" applyAlignment="1">
      <alignment horizontal="center" vertical="top"/>
    </xf>
    <xf numFmtId="0" fontId="15" fillId="0" borderId="6" xfId="0" applyFont="1" applyBorder="1" applyAlignment="1"/>
    <xf numFmtId="0" fontId="10" fillId="0" borderId="6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2" fillId="2" borderId="0" xfId="0" applyFont="1" applyFill="1" applyAlignment="1"/>
    <xf numFmtId="0" fontId="14" fillId="0" borderId="0" xfId="0" applyFont="1" applyAlignment="1"/>
    <xf numFmtId="0" fontId="15" fillId="0" borderId="20" xfId="0" applyFont="1" applyBorder="1" applyAlignment="1"/>
    <xf numFmtId="0" fontId="14" fillId="2" borderId="9" xfId="0" applyFont="1" applyFill="1" applyBorder="1"/>
    <xf numFmtId="0" fontId="14" fillId="2" borderId="2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16" fillId="3" borderId="6" xfId="0" applyFont="1" applyFill="1" applyBorder="1" applyAlignment="1">
      <alignment horizontal="center"/>
    </xf>
    <xf numFmtId="0" fontId="24" fillId="3" borderId="10" xfId="0" applyFont="1" applyFill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4" fillId="0" borderId="2" xfId="0" applyFont="1" applyBorder="1"/>
    <xf numFmtId="0" fontId="4" fillId="0" borderId="3" xfId="0" applyFont="1" applyBorder="1"/>
    <xf numFmtId="0" fontId="0" fillId="0" borderId="0" xfId="0" applyFont="1" applyAlignment="1"/>
    <xf numFmtId="0" fontId="4" fillId="0" borderId="4" xfId="0" applyFont="1" applyBorder="1"/>
    <xf numFmtId="0" fontId="10" fillId="0" borderId="14" xfId="0" applyFont="1" applyBorder="1" applyAlignment="1">
      <alignment wrapText="1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10" xfId="0" applyFont="1" applyBorder="1"/>
    <xf numFmtId="0" fontId="3" fillId="0" borderId="0" xfId="0" applyFont="1" applyAlignment="1">
      <alignment wrapText="1"/>
    </xf>
    <xf numFmtId="0" fontId="7" fillId="0" borderId="14" xfId="0" applyFont="1" applyBorder="1" applyAlignment="1"/>
  </cellXfs>
  <cellStyles count="1">
    <cellStyle name="Обычный" xfId="0" builtinId="0"/>
  </cellStyles>
  <dxfs count="4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2">
    <tableStyle name="Дуб-style" pivot="0" count="2">
      <tableStyleElement type="firstRowStripe" dxfId="3"/>
      <tableStyleElement type="secondRowStripe" dxfId="2"/>
    </tableStyle>
    <tableStyle name="Ясень-style" pivot="0" count="2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31"/>
  <sheetViews>
    <sheetView tabSelected="1" workbookViewId="0">
      <selection activeCell="N8" sqref="N8"/>
    </sheetView>
  </sheetViews>
  <sheetFormatPr defaultColWidth="14.42578125" defaultRowHeight="15" customHeight="1" x14ac:dyDescent="0.25"/>
  <cols>
    <col min="1" max="1" width="8.7109375" customWidth="1"/>
    <col min="2" max="2" width="44.5703125" customWidth="1"/>
    <col min="3" max="5" width="8.7109375" customWidth="1"/>
    <col min="6" max="6" width="8" customWidth="1"/>
    <col min="7" max="7" width="9.7109375" customWidth="1"/>
    <col min="8" max="8" width="15" customWidth="1"/>
    <col min="9" max="9" width="10.7109375" customWidth="1"/>
    <col min="10" max="28" width="8.7109375" customWidth="1"/>
  </cols>
  <sheetData>
    <row r="1" spans="1:28" x14ac:dyDescent="0.25">
      <c r="A1" s="1"/>
    </row>
    <row r="2" spans="1:28" ht="15.75" x14ac:dyDescent="0.25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28" ht="15.75" x14ac:dyDescent="0.25">
      <c r="A3" s="2" t="s">
        <v>1</v>
      </c>
      <c r="B3" s="4"/>
      <c r="C3" s="4"/>
      <c r="D3" s="4"/>
      <c r="E3" s="4"/>
      <c r="F3" s="4"/>
      <c r="G3" s="4"/>
      <c r="H3" s="4"/>
      <c r="I3" s="4"/>
      <c r="J3" s="4"/>
    </row>
    <row r="4" spans="1:28" x14ac:dyDescent="0.25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</row>
    <row r="5" spans="1:28" ht="21.75" customHeight="1" x14ac:dyDescent="0.25">
      <c r="A5" s="138" t="s">
        <v>3</v>
      </c>
      <c r="B5" s="139"/>
      <c r="C5" s="139"/>
      <c r="D5" s="139"/>
      <c r="E5" s="139"/>
      <c r="F5" s="139"/>
      <c r="G5" s="139"/>
      <c r="H5" s="139"/>
      <c r="I5" s="139"/>
      <c r="J5" s="140"/>
    </row>
    <row r="6" spans="1:28" ht="158.25" customHeight="1" x14ac:dyDescent="0.25">
      <c r="A6" s="141"/>
      <c r="B6" s="141"/>
      <c r="C6" s="141"/>
      <c r="D6" s="141"/>
      <c r="E6" s="141"/>
      <c r="F6" s="141"/>
      <c r="G6" s="141"/>
      <c r="H6" s="141"/>
      <c r="I6" s="141"/>
      <c r="J6" s="142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x14ac:dyDescent="0.25">
      <c r="A7" s="8" t="s">
        <v>4</v>
      </c>
      <c r="B7" s="9" t="s">
        <v>5</v>
      </c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10" t="s">
        <v>11</v>
      </c>
      <c r="I7" s="10" t="s">
        <v>12</v>
      </c>
      <c r="J7" s="10" t="s">
        <v>13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28" ht="14.25" customHeight="1" x14ac:dyDescent="0.25">
      <c r="A8" s="12" t="s">
        <v>14</v>
      </c>
      <c r="B8" s="13" t="s">
        <v>15</v>
      </c>
      <c r="C8" s="14">
        <v>900</v>
      </c>
      <c r="D8" s="14">
        <v>600</v>
      </c>
      <c r="E8" s="14">
        <v>20</v>
      </c>
      <c r="F8" s="14">
        <f>29+35+20-2+30+29-1-10+4-30-10-20+27-17-5-30-3+277-12-46-5-6-5+20-38-97+53-12-4-1+42-8-5-8-15-1-5-60-107+2+17+26-1-1-18+60-25+33-5+12-2-1+34-2+25+49+10+10-1+20-1+10-6-5-1-5+42+44-10+30-3-1+11-4+39-65+39-1+9-12-5-35-10-1-30-2-1-20-1-1-7+25-1-2+1-8+1-1-1-29-4-20+32-10-5+18-28-5-1-2</f>
        <v>202</v>
      </c>
      <c r="G8" s="12">
        <f t="shared" ref="G8:G158" si="0">E8*D8*C8*F8/1000/1000/1000</f>
        <v>2.1816</v>
      </c>
      <c r="H8" s="15">
        <v>190000</v>
      </c>
      <c r="I8" s="16">
        <f t="shared" ref="I8:I158" si="1">H8/1000*E8</f>
        <v>3800</v>
      </c>
      <c r="J8" s="16">
        <f t="shared" ref="J8:J158" si="2">E8*D8*C8*H8/1000/1000/1000</f>
        <v>2052</v>
      </c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</row>
    <row r="9" spans="1:28" ht="14.25" customHeight="1" x14ac:dyDescent="0.25">
      <c r="A9" s="12" t="s">
        <v>14</v>
      </c>
      <c r="B9" s="13" t="s">
        <v>15</v>
      </c>
      <c r="C9" s="14">
        <v>1000</v>
      </c>
      <c r="D9" s="14">
        <v>600</v>
      </c>
      <c r="E9" s="14">
        <v>20</v>
      </c>
      <c r="F9" s="14">
        <f>210-1-3+22-2-1-34-4-10+156-2-1+29+7-1+38-1-2+135+5-10-1-1+120-1-1-5+29-6-1-2-15-2+103-5+92-1-4-10-18+79-7+7-20-255+35-5-18+138+212-1-1-8-1+20-6-6-2-10-2-9-16-8+74-15+28-5-20-2-1-49-11-2-3-4-4-7-5-5+17-20-10+19-1-4-2-1-8-2-1-6-10</f>
        <v>857</v>
      </c>
      <c r="G9" s="12">
        <f t="shared" si="0"/>
        <v>10.284000000000001</v>
      </c>
      <c r="H9" s="15">
        <v>210000</v>
      </c>
      <c r="I9" s="16">
        <f t="shared" si="1"/>
        <v>4200</v>
      </c>
      <c r="J9" s="16">
        <f t="shared" si="2"/>
        <v>2520</v>
      </c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spans="1:28" ht="14.25" customHeight="1" x14ac:dyDescent="0.25">
      <c r="A10" s="14" t="s">
        <v>14</v>
      </c>
      <c r="B10" s="13" t="s">
        <v>15</v>
      </c>
      <c r="C10" s="14">
        <v>1100</v>
      </c>
      <c r="D10" s="14">
        <v>600</v>
      </c>
      <c r="E10" s="14">
        <v>20</v>
      </c>
      <c r="F10" s="14">
        <f>3+2+31-1-3-1-10-1+15-8+5+50-1-10-1+56-1-2+1+1+22+6+5-5-8-3-2-10+15-1-24-23-1-35-8-9-13-2+2-20-1-2-1</f>
        <v>7</v>
      </c>
      <c r="G10" s="12">
        <f t="shared" si="0"/>
        <v>9.240000000000001E-2</v>
      </c>
      <c r="H10" s="15">
        <v>220000</v>
      </c>
      <c r="I10" s="16">
        <f t="shared" si="1"/>
        <v>4400</v>
      </c>
      <c r="J10" s="16">
        <f t="shared" si="2"/>
        <v>2904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spans="1:28" ht="14.25" customHeight="1" x14ac:dyDescent="0.25">
      <c r="A11" s="14" t="s">
        <v>14</v>
      </c>
      <c r="B11" s="13" t="s">
        <v>15</v>
      </c>
      <c r="C11" s="14">
        <v>1200</v>
      </c>
      <c r="D11" s="14">
        <v>600</v>
      </c>
      <c r="E11" s="14">
        <v>20</v>
      </c>
      <c r="F11" s="14">
        <f>101-1-25-6-3+43-3+35-60-3-2-1-2-5-10-13-4-2-5-12-1-1-4-3+7+42-10-1-6-1+6-5+116-22-7-22-7-1-5+5-5+12-17-20-1+33-4-2-6-2-11-10-10-3-5-15+39-2-1-10-3+61-2+46-17-23-8-8-10-3-1+35-27+42-28-2-17-8-1-11+20-18-6+22-6-40-1-3-24-3+16-5-1-1+9-1-5-1+98-3-1+10+8-5+24-6-2-2-16-1-5+64+5-44-9-5+70-10-1+38-1-1-3-10+90-5-3+49+48-5-3-3-2-65-1+7-1-20+18-5+108-1+135-1-2+9-3-1-5-1-47-58-10-1-1-2+3-15-5+28-3-2-3-10-1-3-3-5+17-2-1+1-5-17-3-5-1-4-4</f>
        <v>396</v>
      </c>
      <c r="G11" s="12">
        <f t="shared" si="0"/>
        <v>5.7023999999999999</v>
      </c>
      <c r="H11" s="15">
        <v>240000</v>
      </c>
      <c r="I11" s="16">
        <f t="shared" si="1"/>
        <v>4800</v>
      </c>
      <c r="J11" s="16">
        <f t="shared" si="2"/>
        <v>3456</v>
      </c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</row>
    <row r="12" spans="1:28" ht="14.25" customHeight="1" x14ac:dyDescent="0.25">
      <c r="A12" s="14" t="s">
        <v>14</v>
      </c>
      <c r="B12" s="13" t="s">
        <v>15</v>
      </c>
      <c r="C12" s="14">
        <v>1300</v>
      </c>
      <c r="D12" s="14">
        <v>600</v>
      </c>
      <c r="E12" s="14">
        <v>20</v>
      </c>
      <c r="F12" s="14">
        <f>58-1+37-3-3-1-19-3-4-6-2+18-5-15+13-6-2-11-20-5-1-3+2-1-7+16-1-1-4-10+21-6+6+57-1-3-7-8-10-1-1-3+24-1-2+2-2-1-1-3-7+17-1-1-2-5-9-2-1+26-15-2-3-8-2-7</f>
        <v>48</v>
      </c>
      <c r="G12" s="12">
        <f t="shared" si="0"/>
        <v>0.74879999999999991</v>
      </c>
      <c r="H12" s="15">
        <v>240000</v>
      </c>
      <c r="I12" s="16">
        <f t="shared" si="1"/>
        <v>4800</v>
      </c>
      <c r="J12" s="16">
        <f t="shared" si="2"/>
        <v>3744</v>
      </c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 spans="1:28" ht="14.25" customHeight="1" x14ac:dyDescent="0.25">
      <c r="A13" s="14" t="s">
        <v>14</v>
      </c>
      <c r="B13" s="13" t="s">
        <v>15</v>
      </c>
      <c r="C13" s="12">
        <v>1400</v>
      </c>
      <c r="D13" s="12">
        <v>600</v>
      </c>
      <c r="E13" s="12">
        <v>20</v>
      </c>
      <c r="F13" s="13">
        <f>2+16-9+1-9+4+19+9+28+3-2+26-1-1-2-3-1-10-1+5+1+1+10+1-6-2</f>
        <v>79</v>
      </c>
      <c r="G13" s="12">
        <f t="shared" si="0"/>
        <v>1.3271999999999999</v>
      </c>
      <c r="H13" s="15">
        <v>240000</v>
      </c>
      <c r="I13" s="16">
        <f t="shared" si="1"/>
        <v>4800</v>
      </c>
      <c r="J13" s="16">
        <f t="shared" si="2"/>
        <v>4032</v>
      </c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pans="1:28" ht="14.25" customHeight="1" x14ac:dyDescent="0.25">
      <c r="A14" s="14" t="s">
        <v>14</v>
      </c>
      <c r="B14" s="13" t="s">
        <v>15</v>
      </c>
      <c r="C14" s="19">
        <v>1450</v>
      </c>
      <c r="D14" s="20">
        <v>600</v>
      </c>
      <c r="E14" s="20">
        <v>20</v>
      </c>
      <c r="F14" s="20">
        <v>23</v>
      </c>
      <c r="G14" s="12">
        <f t="shared" si="0"/>
        <v>0.4002</v>
      </c>
      <c r="H14" s="15">
        <v>240000</v>
      </c>
      <c r="I14" s="16">
        <f t="shared" si="1"/>
        <v>4800</v>
      </c>
      <c r="J14" s="16">
        <f t="shared" si="2"/>
        <v>4176</v>
      </c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</row>
    <row r="15" spans="1:28" ht="14.25" customHeight="1" x14ac:dyDescent="0.25">
      <c r="A15" s="14" t="s">
        <v>14</v>
      </c>
      <c r="B15" s="13" t="s">
        <v>15</v>
      </c>
      <c r="C15" s="19">
        <v>1500</v>
      </c>
      <c r="D15" s="20">
        <v>550</v>
      </c>
      <c r="E15" s="20">
        <v>20</v>
      </c>
      <c r="F15" s="20">
        <v>1</v>
      </c>
      <c r="G15" s="12">
        <f t="shared" si="0"/>
        <v>1.6500000000000001E-2</v>
      </c>
      <c r="H15" s="15">
        <v>240000</v>
      </c>
      <c r="I15" s="16">
        <f t="shared" si="1"/>
        <v>4800</v>
      </c>
      <c r="J15" s="16">
        <f t="shared" si="2"/>
        <v>3960</v>
      </c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 spans="1:28" ht="14.25" customHeight="1" x14ac:dyDescent="0.25">
      <c r="A16" s="14" t="s">
        <v>14</v>
      </c>
      <c r="B16" s="13" t="s">
        <v>15</v>
      </c>
      <c r="C16" s="21">
        <v>1500</v>
      </c>
      <c r="D16" s="22">
        <v>600</v>
      </c>
      <c r="E16" s="22">
        <v>20</v>
      </c>
      <c r="F16" s="22">
        <v>721</v>
      </c>
      <c r="G16" s="12">
        <f t="shared" si="0"/>
        <v>12.978</v>
      </c>
      <c r="H16" s="15">
        <v>240000</v>
      </c>
      <c r="I16" s="16">
        <f t="shared" si="1"/>
        <v>4800</v>
      </c>
      <c r="J16" s="16">
        <f t="shared" si="2"/>
        <v>4320</v>
      </c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</row>
    <row r="17" spans="1:28" ht="14.25" customHeight="1" x14ac:dyDescent="0.25">
      <c r="A17" s="14" t="s">
        <v>14</v>
      </c>
      <c r="B17" s="13" t="s">
        <v>15</v>
      </c>
      <c r="C17" s="13">
        <v>1900</v>
      </c>
      <c r="D17" s="13">
        <v>500</v>
      </c>
      <c r="E17" s="13">
        <v>20</v>
      </c>
      <c r="F17" s="13">
        <v>1</v>
      </c>
      <c r="G17" s="12">
        <f t="shared" si="0"/>
        <v>1.9E-2</v>
      </c>
      <c r="H17" s="15">
        <v>240000</v>
      </c>
      <c r="I17" s="16">
        <f t="shared" si="1"/>
        <v>4800</v>
      </c>
      <c r="J17" s="16">
        <f t="shared" si="2"/>
        <v>4560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 spans="1:28" ht="14.25" customHeight="1" x14ac:dyDescent="0.25">
      <c r="A18" s="12" t="s">
        <v>14</v>
      </c>
      <c r="B18" s="13" t="s">
        <v>15</v>
      </c>
      <c r="C18" s="23">
        <v>2300</v>
      </c>
      <c r="D18" s="12">
        <v>600</v>
      </c>
      <c r="E18" s="12">
        <v>20</v>
      </c>
      <c r="F18" s="23">
        <f>7+6-1-7-1-3</f>
        <v>1</v>
      </c>
      <c r="G18" s="12">
        <f t="shared" si="0"/>
        <v>2.7600000000000003E-2</v>
      </c>
      <c r="H18" s="15">
        <v>280000</v>
      </c>
      <c r="I18" s="16">
        <f t="shared" si="1"/>
        <v>5600</v>
      </c>
      <c r="J18" s="16">
        <f t="shared" si="2"/>
        <v>7728</v>
      </c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spans="1:28" ht="14.25" customHeight="1" x14ac:dyDescent="0.25">
      <c r="A19" s="12" t="s">
        <v>14</v>
      </c>
      <c r="B19" s="13" t="s">
        <v>15</v>
      </c>
      <c r="C19" s="24">
        <v>2400</v>
      </c>
      <c r="D19" s="12">
        <v>600</v>
      </c>
      <c r="E19" s="12">
        <v>20</v>
      </c>
      <c r="F19" s="24">
        <f>13-1-1-1-2-4</f>
        <v>4</v>
      </c>
      <c r="G19" s="12">
        <f t="shared" si="0"/>
        <v>0.1152</v>
      </c>
      <c r="H19" s="15">
        <v>280000</v>
      </c>
      <c r="I19" s="16">
        <f t="shared" si="1"/>
        <v>5600</v>
      </c>
      <c r="J19" s="16">
        <f t="shared" si="2"/>
        <v>8064</v>
      </c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28" ht="14.25" customHeight="1" x14ac:dyDescent="0.25">
      <c r="A20" s="25" t="s">
        <v>14</v>
      </c>
      <c r="B20" s="13" t="s">
        <v>15</v>
      </c>
      <c r="C20" s="23">
        <v>2600</v>
      </c>
      <c r="D20" s="23">
        <v>600</v>
      </c>
      <c r="E20" s="23">
        <v>20</v>
      </c>
      <c r="F20" s="23">
        <f>14+9-10-10</f>
        <v>3</v>
      </c>
      <c r="G20" s="12">
        <f t="shared" si="0"/>
        <v>9.3599999999999989E-2</v>
      </c>
      <c r="H20" s="15">
        <v>300000</v>
      </c>
      <c r="I20" s="16">
        <f t="shared" si="1"/>
        <v>6000</v>
      </c>
      <c r="J20" s="16">
        <f t="shared" si="2"/>
        <v>9360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  <row r="21" spans="1:28" ht="14.25" customHeight="1" x14ac:dyDescent="0.25">
      <c r="A21" s="12" t="s">
        <v>14</v>
      </c>
      <c r="B21" s="13" t="s">
        <v>15</v>
      </c>
      <c r="C21" s="23">
        <v>2700</v>
      </c>
      <c r="D21" s="26">
        <v>600</v>
      </c>
      <c r="E21" s="26">
        <v>20</v>
      </c>
      <c r="F21" s="26">
        <f>15+2-10</f>
        <v>7</v>
      </c>
      <c r="G21" s="12">
        <f t="shared" si="0"/>
        <v>0.2268</v>
      </c>
      <c r="H21" s="15">
        <v>300000</v>
      </c>
      <c r="I21" s="16">
        <f t="shared" si="1"/>
        <v>6000</v>
      </c>
      <c r="J21" s="16">
        <f t="shared" si="2"/>
        <v>9720</v>
      </c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</row>
    <row r="22" spans="1:28" ht="14.25" customHeight="1" x14ac:dyDescent="0.25">
      <c r="A22" s="25" t="s">
        <v>14</v>
      </c>
      <c r="B22" s="13" t="s">
        <v>15</v>
      </c>
      <c r="C22" s="23">
        <v>2800</v>
      </c>
      <c r="D22" s="23">
        <v>600</v>
      </c>
      <c r="E22" s="23">
        <v>20</v>
      </c>
      <c r="F22" s="23">
        <f>30-1+13-10-6-3-1-10+20-1-2+7-10-1-10</f>
        <v>15</v>
      </c>
      <c r="G22" s="12">
        <f t="shared" si="0"/>
        <v>0.504</v>
      </c>
      <c r="H22" s="15">
        <v>300000</v>
      </c>
      <c r="I22" s="16">
        <f t="shared" si="1"/>
        <v>6000</v>
      </c>
      <c r="J22" s="16">
        <f t="shared" si="2"/>
        <v>10080</v>
      </c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 spans="1:28" ht="14.25" customHeight="1" x14ac:dyDescent="0.25">
      <c r="A23" s="25" t="s">
        <v>14</v>
      </c>
      <c r="B23" s="13" t="s">
        <v>15</v>
      </c>
      <c r="C23" s="23">
        <v>2900</v>
      </c>
      <c r="D23" s="23">
        <v>600</v>
      </c>
      <c r="E23" s="23">
        <v>20</v>
      </c>
      <c r="F23" s="23">
        <f>15-2+3-10+18-1+2</f>
        <v>25</v>
      </c>
      <c r="G23" s="12">
        <f t="shared" si="0"/>
        <v>0.87</v>
      </c>
      <c r="H23" s="15">
        <v>300000</v>
      </c>
      <c r="I23" s="16">
        <f t="shared" si="1"/>
        <v>6000</v>
      </c>
      <c r="J23" s="16">
        <f t="shared" si="2"/>
        <v>10440</v>
      </c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spans="1:28" ht="14.25" customHeight="1" x14ac:dyDescent="0.25">
      <c r="A24" s="25" t="s">
        <v>14</v>
      </c>
      <c r="B24" s="23" t="s">
        <v>16</v>
      </c>
      <c r="C24" s="29">
        <v>800</v>
      </c>
      <c r="D24" s="24">
        <v>600</v>
      </c>
      <c r="E24" s="24">
        <v>20</v>
      </c>
      <c r="F24" s="24">
        <f>8+6+4-5</f>
        <v>13</v>
      </c>
      <c r="G24" s="12">
        <f t="shared" si="0"/>
        <v>0.12479999999999999</v>
      </c>
      <c r="H24" s="15">
        <v>181000</v>
      </c>
      <c r="I24" s="16">
        <f t="shared" si="1"/>
        <v>3620</v>
      </c>
      <c r="J24" s="16">
        <f t="shared" si="2"/>
        <v>1737.6</v>
      </c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</row>
    <row r="25" spans="1:28" ht="14.25" customHeight="1" x14ac:dyDescent="0.25">
      <c r="A25" s="25" t="s">
        <v>14</v>
      </c>
      <c r="B25" s="23" t="s">
        <v>16</v>
      </c>
      <c r="C25" s="29">
        <v>900</v>
      </c>
      <c r="D25" s="24">
        <v>600</v>
      </c>
      <c r="E25" s="24">
        <v>20</v>
      </c>
      <c r="F25" s="24">
        <f>5-5</f>
        <v>0</v>
      </c>
      <c r="G25" s="12">
        <f t="shared" si="0"/>
        <v>0</v>
      </c>
      <c r="H25" s="15">
        <v>181000</v>
      </c>
      <c r="I25" s="16">
        <f t="shared" si="1"/>
        <v>3620</v>
      </c>
      <c r="J25" s="16">
        <f t="shared" si="2"/>
        <v>1954.8</v>
      </c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</row>
    <row r="26" spans="1:28" ht="14.25" customHeight="1" x14ac:dyDescent="0.25">
      <c r="A26" s="25" t="s">
        <v>14</v>
      </c>
      <c r="B26" s="23" t="s">
        <v>16</v>
      </c>
      <c r="C26" s="12">
        <v>1000</v>
      </c>
      <c r="D26" s="26">
        <v>600</v>
      </c>
      <c r="E26" s="26">
        <v>20</v>
      </c>
      <c r="F26" s="26">
        <f>228-2-5+9-20+18+19-31-4-3-22-40-4-1-30+12+44+33-1-4-5+35-1-10-6+21-5-2-3+2+32-32-42+21+44-1-4+41-4-25+22+16-1-30-42+16-50+20+14-70+2</f>
        <v>149</v>
      </c>
      <c r="G26" s="12">
        <f t="shared" si="0"/>
        <v>1.788</v>
      </c>
      <c r="H26" s="30">
        <v>198000</v>
      </c>
      <c r="I26" s="16">
        <f t="shared" si="1"/>
        <v>3960</v>
      </c>
      <c r="J26" s="16">
        <f t="shared" si="2"/>
        <v>2376</v>
      </c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</row>
    <row r="27" spans="1:28" ht="14.25" customHeight="1" x14ac:dyDescent="0.25">
      <c r="A27" s="25" t="s">
        <v>14</v>
      </c>
      <c r="B27" s="23" t="s">
        <v>16</v>
      </c>
      <c r="C27" s="25">
        <v>1100</v>
      </c>
      <c r="D27" s="23">
        <v>600</v>
      </c>
      <c r="E27" s="23">
        <v>20</v>
      </c>
      <c r="F27" s="23">
        <f>13+16+9-5-11+9-30</f>
        <v>1</v>
      </c>
      <c r="G27" s="12">
        <f t="shared" si="0"/>
        <v>1.32E-2</v>
      </c>
      <c r="H27" s="30">
        <v>198000</v>
      </c>
      <c r="I27" s="16">
        <f t="shared" si="1"/>
        <v>3960</v>
      </c>
      <c r="J27" s="16">
        <f t="shared" si="2"/>
        <v>2613.6</v>
      </c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pans="1:28" ht="14.25" customHeight="1" x14ac:dyDescent="0.25">
      <c r="A28" s="25" t="s">
        <v>14</v>
      </c>
      <c r="B28" s="23" t="s">
        <v>16</v>
      </c>
      <c r="C28" s="25">
        <v>1200</v>
      </c>
      <c r="D28" s="23">
        <v>600</v>
      </c>
      <c r="E28" s="23">
        <v>20</v>
      </c>
      <c r="F28" s="23">
        <f>22-16+36-2+24-50+25+22+8+20-1+12+24-6+28+20+12+10-50+10</f>
        <v>148</v>
      </c>
      <c r="G28" s="12">
        <f t="shared" si="0"/>
        <v>2.1311999999999998</v>
      </c>
      <c r="H28" s="30">
        <v>220000</v>
      </c>
      <c r="I28" s="16">
        <f t="shared" si="1"/>
        <v>4400</v>
      </c>
      <c r="J28" s="16">
        <f t="shared" si="2"/>
        <v>3168</v>
      </c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1:28" ht="14.25" customHeight="1" x14ac:dyDescent="0.25">
      <c r="A29" s="25" t="s">
        <v>14</v>
      </c>
      <c r="B29" s="23" t="s">
        <v>16</v>
      </c>
      <c r="C29" s="25">
        <v>1300</v>
      </c>
      <c r="D29" s="23">
        <v>600</v>
      </c>
      <c r="E29" s="23">
        <v>20</v>
      </c>
      <c r="F29" s="23">
        <f>17+1-3+7+7-20-1+10-6-6+24+17-9+8-1+2</f>
        <v>47</v>
      </c>
      <c r="G29" s="12">
        <f t="shared" si="0"/>
        <v>0.73320000000000007</v>
      </c>
      <c r="H29" s="30">
        <v>228000</v>
      </c>
      <c r="I29" s="16">
        <f t="shared" si="1"/>
        <v>4560</v>
      </c>
      <c r="J29" s="16">
        <f t="shared" si="2"/>
        <v>3556.8</v>
      </c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1:28" ht="14.25" customHeight="1" x14ac:dyDescent="0.25">
      <c r="A30" s="25" t="s">
        <v>14</v>
      </c>
      <c r="B30" s="23" t="s">
        <v>16</v>
      </c>
      <c r="C30" s="25">
        <v>1400</v>
      </c>
      <c r="D30" s="23">
        <v>600</v>
      </c>
      <c r="E30" s="23">
        <v>20</v>
      </c>
      <c r="F30" s="23">
        <f>11-4+2-2+2-3+8</f>
        <v>14</v>
      </c>
      <c r="G30" s="12">
        <f t="shared" si="0"/>
        <v>0.23519999999999999</v>
      </c>
      <c r="H30" s="30">
        <v>228000</v>
      </c>
      <c r="I30" s="16">
        <f t="shared" si="1"/>
        <v>4560</v>
      </c>
      <c r="J30" s="16">
        <f t="shared" si="2"/>
        <v>3830.4</v>
      </c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1:28" ht="14.25" customHeight="1" x14ac:dyDescent="0.25">
      <c r="A31" s="25" t="s">
        <v>14</v>
      </c>
      <c r="B31" s="31" t="s">
        <v>16</v>
      </c>
      <c r="C31" s="32">
        <v>1500</v>
      </c>
      <c r="D31" s="31">
        <v>600</v>
      </c>
      <c r="E31" s="31">
        <v>20</v>
      </c>
      <c r="F31" s="31">
        <f>171-88-2-1+8+20-2-2+31-2+49-2+38-1-3-1+33+12+23+12-3+11+22-1-2+34+30+9+19-2+5-24</f>
        <v>391</v>
      </c>
      <c r="G31" s="22">
        <f t="shared" si="0"/>
        <v>7.0380000000000003</v>
      </c>
      <c r="H31" s="30">
        <v>228000</v>
      </c>
      <c r="I31" s="16">
        <f t="shared" si="1"/>
        <v>4560</v>
      </c>
      <c r="J31" s="16">
        <f t="shared" si="2"/>
        <v>4104</v>
      </c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1:28" ht="14.25" customHeight="1" x14ac:dyDescent="0.25">
      <c r="A32" s="25" t="s">
        <v>14</v>
      </c>
      <c r="B32" s="23" t="s">
        <v>16</v>
      </c>
      <c r="C32" s="29">
        <v>1600</v>
      </c>
      <c r="D32" s="23">
        <v>600</v>
      </c>
      <c r="E32" s="23">
        <v>20</v>
      </c>
      <c r="F32" s="24">
        <f>6+1+1</f>
        <v>8</v>
      </c>
      <c r="G32" s="12">
        <f t="shared" si="0"/>
        <v>0.15359999999999999</v>
      </c>
      <c r="H32" s="30">
        <v>228000</v>
      </c>
      <c r="I32" s="16">
        <f t="shared" si="1"/>
        <v>4560</v>
      </c>
      <c r="J32" s="16">
        <f t="shared" si="2"/>
        <v>4377.6000000000004</v>
      </c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3" spans="1:28" ht="14.25" customHeight="1" x14ac:dyDescent="0.25">
      <c r="A33" s="25" t="s">
        <v>14</v>
      </c>
      <c r="B33" s="23" t="s">
        <v>16</v>
      </c>
      <c r="C33" s="25">
        <v>1800</v>
      </c>
      <c r="D33" s="23">
        <v>600</v>
      </c>
      <c r="E33" s="23">
        <v>20</v>
      </c>
      <c r="F33" s="23">
        <f>27-6-5+16+1+9+12-1+13-2+11-36+12-2+2+1-1+1-10</f>
        <v>42</v>
      </c>
      <c r="G33" s="12">
        <f t="shared" si="0"/>
        <v>0.90720000000000001</v>
      </c>
      <c r="H33" s="30">
        <v>228000</v>
      </c>
      <c r="I33" s="16">
        <f t="shared" si="1"/>
        <v>4560</v>
      </c>
      <c r="J33" s="16">
        <f t="shared" si="2"/>
        <v>4924.8</v>
      </c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</row>
    <row r="34" spans="1:28" ht="14.25" customHeight="1" x14ac:dyDescent="0.25">
      <c r="A34" s="25" t="s">
        <v>14</v>
      </c>
      <c r="B34" s="23" t="s">
        <v>16</v>
      </c>
      <c r="C34" s="29">
        <v>1900</v>
      </c>
      <c r="D34" s="23">
        <v>600</v>
      </c>
      <c r="E34" s="23">
        <v>20</v>
      </c>
      <c r="F34" s="24">
        <f>3+1+3+3-1-1</f>
        <v>8</v>
      </c>
      <c r="G34" s="12">
        <f t="shared" si="0"/>
        <v>0.18240000000000001</v>
      </c>
      <c r="H34" s="30">
        <v>228000</v>
      </c>
      <c r="I34" s="16">
        <f t="shared" si="1"/>
        <v>4560</v>
      </c>
      <c r="J34" s="16">
        <f t="shared" si="2"/>
        <v>5198.3999999999996</v>
      </c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  <row r="35" spans="1:28" ht="14.25" customHeight="1" x14ac:dyDescent="0.25">
      <c r="A35" s="25" t="s">
        <v>14</v>
      </c>
      <c r="B35" s="23" t="s">
        <v>16</v>
      </c>
      <c r="C35" s="29">
        <v>2100</v>
      </c>
      <c r="D35" s="23">
        <v>600</v>
      </c>
      <c r="E35" s="23">
        <v>20</v>
      </c>
      <c r="F35" s="24">
        <v>1</v>
      </c>
      <c r="G35" s="12">
        <f t="shared" si="0"/>
        <v>2.52E-2</v>
      </c>
      <c r="H35" s="30">
        <v>263000</v>
      </c>
      <c r="I35" s="16">
        <f t="shared" si="1"/>
        <v>5260</v>
      </c>
      <c r="J35" s="16">
        <f t="shared" si="2"/>
        <v>6627.6</v>
      </c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1:28" ht="14.25" customHeight="1" x14ac:dyDescent="0.25">
      <c r="A36" s="25" t="s">
        <v>14</v>
      </c>
      <c r="B36" s="23" t="s">
        <v>16</v>
      </c>
      <c r="C36" s="25">
        <v>2400</v>
      </c>
      <c r="D36" s="23">
        <v>600</v>
      </c>
      <c r="E36" s="23">
        <v>20</v>
      </c>
      <c r="F36" s="23">
        <f>7+7-2-3-1-2</f>
        <v>6</v>
      </c>
      <c r="G36" s="12">
        <f t="shared" si="0"/>
        <v>0.17280000000000001</v>
      </c>
      <c r="H36" s="30">
        <v>263000</v>
      </c>
      <c r="I36" s="16">
        <f t="shared" si="1"/>
        <v>5260</v>
      </c>
      <c r="J36" s="16">
        <f t="shared" si="2"/>
        <v>7574.4</v>
      </c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</row>
    <row r="37" spans="1:28" ht="14.25" customHeight="1" x14ac:dyDescent="0.25">
      <c r="A37" s="25" t="s">
        <v>14</v>
      </c>
      <c r="B37" s="23" t="s">
        <v>16</v>
      </c>
      <c r="C37" s="29">
        <v>2600</v>
      </c>
      <c r="D37" s="23">
        <v>600</v>
      </c>
      <c r="E37" s="23">
        <v>20</v>
      </c>
      <c r="F37" s="24">
        <f>10+5</f>
        <v>15</v>
      </c>
      <c r="G37" s="12">
        <f t="shared" si="0"/>
        <v>0.46800000000000003</v>
      </c>
      <c r="H37" s="30">
        <v>278000</v>
      </c>
      <c r="I37" s="16">
        <f t="shared" si="1"/>
        <v>5560</v>
      </c>
      <c r="J37" s="16">
        <f t="shared" si="2"/>
        <v>8673.6</v>
      </c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</row>
    <row r="38" spans="1:28" ht="14.25" customHeight="1" x14ac:dyDescent="0.25">
      <c r="A38" s="25" t="s">
        <v>14</v>
      </c>
      <c r="B38" s="23" t="s">
        <v>16</v>
      </c>
      <c r="C38" s="29">
        <v>2700</v>
      </c>
      <c r="D38" s="23">
        <v>600</v>
      </c>
      <c r="E38" s="23">
        <v>20</v>
      </c>
      <c r="F38" s="24">
        <f>2+2</f>
        <v>4</v>
      </c>
      <c r="G38" s="12">
        <f t="shared" si="0"/>
        <v>0.12959999999999999</v>
      </c>
      <c r="H38" s="30">
        <v>278000</v>
      </c>
      <c r="I38" s="16">
        <f t="shared" si="1"/>
        <v>5560</v>
      </c>
      <c r="J38" s="16">
        <f t="shared" si="2"/>
        <v>9007.2000000000007</v>
      </c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</row>
    <row r="39" spans="1:28" ht="14.25" customHeight="1" x14ac:dyDescent="0.25">
      <c r="A39" s="25" t="s">
        <v>14</v>
      </c>
      <c r="B39" s="23" t="s">
        <v>16</v>
      </c>
      <c r="C39" s="25">
        <v>2800</v>
      </c>
      <c r="D39" s="23">
        <v>600</v>
      </c>
      <c r="E39" s="23">
        <v>20</v>
      </c>
      <c r="F39" s="23">
        <f>16+9-2-1-2-2+10-2-10+8-2-3</f>
        <v>19</v>
      </c>
      <c r="G39" s="12">
        <f t="shared" si="0"/>
        <v>0.63839999999999997</v>
      </c>
      <c r="H39" s="30">
        <v>278000</v>
      </c>
      <c r="I39" s="16">
        <f t="shared" si="1"/>
        <v>5560</v>
      </c>
      <c r="J39" s="16">
        <f t="shared" si="2"/>
        <v>9340.7999999999993</v>
      </c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</row>
    <row r="40" spans="1:28" ht="14.25" customHeight="1" x14ac:dyDescent="0.25">
      <c r="A40" s="25" t="s">
        <v>14</v>
      </c>
      <c r="B40" s="33" t="s">
        <v>17</v>
      </c>
      <c r="C40" s="29">
        <v>900</v>
      </c>
      <c r="D40" s="24">
        <v>600</v>
      </c>
      <c r="E40" s="24">
        <v>20</v>
      </c>
      <c r="F40" s="24">
        <f>40-10-15+22-5-5</f>
        <v>27</v>
      </c>
      <c r="G40" s="12">
        <f t="shared" si="0"/>
        <v>0.29160000000000003</v>
      </c>
      <c r="H40" s="34">
        <v>159500</v>
      </c>
      <c r="I40" s="16">
        <f t="shared" si="1"/>
        <v>3190</v>
      </c>
      <c r="J40" s="16">
        <f t="shared" si="2"/>
        <v>1722.6</v>
      </c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</row>
    <row r="41" spans="1:28" ht="14.25" customHeight="1" x14ac:dyDescent="0.25">
      <c r="A41" s="25" t="s">
        <v>14</v>
      </c>
      <c r="B41" s="33" t="s">
        <v>17</v>
      </c>
      <c r="C41" s="12">
        <v>1000</v>
      </c>
      <c r="D41" s="12">
        <v>600</v>
      </c>
      <c r="E41" s="12">
        <v>20</v>
      </c>
      <c r="F41" s="12">
        <f>95-2-4-2-5-4-1-17+35+28-5-2</f>
        <v>116</v>
      </c>
      <c r="G41" s="12">
        <f t="shared" si="0"/>
        <v>1.3919999999999999</v>
      </c>
      <c r="H41" s="35">
        <v>173000</v>
      </c>
      <c r="I41" s="16">
        <f t="shared" si="1"/>
        <v>3460</v>
      </c>
      <c r="J41" s="16">
        <f t="shared" si="2"/>
        <v>2076</v>
      </c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</row>
    <row r="42" spans="1:28" ht="14.25" customHeight="1" x14ac:dyDescent="0.25">
      <c r="A42" s="25" t="s">
        <v>14</v>
      </c>
      <c r="B42" s="33" t="s">
        <v>17</v>
      </c>
      <c r="C42" s="12">
        <v>1100</v>
      </c>
      <c r="D42" s="12">
        <v>600</v>
      </c>
      <c r="E42" s="12">
        <v>20</v>
      </c>
      <c r="F42" s="12">
        <f>45-1-10-2-6+9-1+20</f>
        <v>54</v>
      </c>
      <c r="G42" s="12">
        <f t="shared" si="0"/>
        <v>0.71279999999999999</v>
      </c>
      <c r="H42" s="35">
        <v>173000</v>
      </c>
      <c r="I42" s="16">
        <f t="shared" si="1"/>
        <v>3460</v>
      </c>
      <c r="J42" s="16">
        <f t="shared" si="2"/>
        <v>2283.6</v>
      </c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</row>
    <row r="43" spans="1:28" ht="14.25" customHeight="1" x14ac:dyDescent="0.25">
      <c r="A43" s="25" t="s">
        <v>14</v>
      </c>
      <c r="B43" s="33" t="s">
        <v>17</v>
      </c>
      <c r="C43" s="12">
        <v>1200</v>
      </c>
      <c r="D43" s="12">
        <v>600</v>
      </c>
      <c r="E43" s="12">
        <v>20</v>
      </c>
      <c r="F43" s="12">
        <f>117-10-10-2-21-2-2-1-18-3-6+15+19-4</f>
        <v>72</v>
      </c>
      <c r="G43" s="12">
        <f t="shared" si="0"/>
        <v>1.0367999999999999</v>
      </c>
      <c r="H43" s="35">
        <v>195000</v>
      </c>
      <c r="I43" s="16">
        <f t="shared" si="1"/>
        <v>3900</v>
      </c>
      <c r="J43" s="16">
        <f t="shared" si="2"/>
        <v>2808</v>
      </c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</row>
    <row r="44" spans="1:28" ht="14.25" customHeight="1" x14ac:dyDescent="0.25">
      <c r="A44" s="25" t="s">
        <v>14</v>
      </c>
      <c r="B44" s="33" t="s">
        <v>17</v>
      </c>
      <c r="C44" s="12">
        <v>1300</v>
      </c>
      <c r="D44" s="12">
        <v>600</v>
      </c>
      <c r="E44" s="12">
        <v>20</v>
      </c>
      <c r="F44" s="12">
        <f>11-1-1-4+3+9</f>
        <v>17</v>
      </c>
      <c r="G44" s="12">
        <f t="shared" si="0"/>
        <v>0.26519999999999999</v>
      </c>
      <c r="H44" s="35">
        <v>195000</v>
      </c>
      <c r="I44" s="16">
        <f t="shared" si="1"/>
        <v>3900</v>
      </c>
      <c r="J44" s="16">
        <f t="shared" si="2"/>
        <v>3042</v>
      </c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</row>
    <row r="45" spans="1:28" ht="14.25" customHeight="1" x14ac:dyDescent="0.25">
      <c r="A45" s="25" t="s">
        <v>14</v>
      </c>
      <c r="B45" s="33" t="s">
        <v>17</v>
      </c>
      <c r="C45" s="12">
        <v>1400</v>
      </c>
      <c r="D45" s="12">
        <v>600</v>
      </c>
      <c r="E45" s="12">
        <v>20</v>
      </c>
      <c r="F45" s="12">
        <f>56-3-4-10-24+7-1</f>
        <v>21</v>
      </c>
      <c r="G45" s="12">
        <f t="shared" si="0"/>
        <v>0.3528</v>
      </c>
      <c r="H45" s="35">
        <v>195000</v>
      </c>
      <c r="I45" s="16">
        <f t="shared" si="1"/>
        <v>3900</v>
      </c>
      <c r="J45" s="16">
        <f t="shared" si="2"/>
        <v>3276</v>
      </c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</row>
    <row r="46" spans="1:28" ht="14.25" customHeight="1" x14ac:dyDescent="0.25">
      <c r="A46" s="36" t="s">
        <v>14</v>
      </c>
      <c r="B46" s="33" t="s">
        <v>18</v>
      </c>
      <c r="C46" s="12">
        <v>1000</v>
      </c>
      <c r="D46" s="12">
        <v>600</v>
      </c>
      <c r="E46" s="12">
        <v>20</v>
      </c>
      <c r="F46" s="13">
        <f>65-3-10</f>
        <v>52</v>
      </c>
      <c r="G46" s="12">
        <f t="shared" si="0"/>
        <v>0.624</v>
      </c>
      <c r="H46" s="35">
        <v>194000</v>
      </c>
      <c r="I46" s="16">
        <f t="shared" si="1"/>
        <v>3880</v>
      </c>
      <c r="J46" s="16">
        <f t="shared" si="2"/>
        <v>2328</v>
      </c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</row>
    <row r="47" spans="1:28" ht="14.25" customHeight="1" x14ac:dyDescent="0.25">
      <c r="A47" s="36" t="s">
        <v>14</v>
      </c>
      <c r="B47" s="33" t="s">
        <v>18</v>
      </c>
      <c r="C47" s="12">
        <v>1100</v>
      </c>
      <c r="D47" s="12">
        <v>600</v>
      </c>
      <c r="E47" s="12">
        <v>20</v>
      </c>
      <c r="F47" s="13">
        <f>30-15</f>
        <v>15</v>
      </c>
      <c r="G47" s="12">
        <f t="shared" si="0"/>
        <v>0.19800000000000001</v>
      </c>
      <c r="H47" s="35">
        <v>194000</v>
      </c>
      <c r="I47" s="16">
        <f t="shared" si="1"/>
        <v>3880</v>
      </c>
      <c r="J47" s="16">
        <f t="shared" si="2"/>
        <v>2560.8000000000002</v>
      </c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</row>
    <row r="48" spans="1:28" ht="14.25" customHeight="1" x14ac:dyDescent="0.25">
      <c r="A48" s="36" t="s">
        <v>14</v>
      </c>
      <c r="B48" s="33" t="s">
        <v>18</v>
      </c>
      <c r="C48" s="29">
        <v>1200</v>
      </c>
      <c r="D48" s="12">
        <v>600</v>
      </c>
      <c r="E48" s="12">
        <v>20</v>
      </c>
      <c r="F48" s="24">
        <v>58</v>
      </c>
      <c r="G48" s="12">
        <f t="shared" si="0"/>
        <v>0.83520000000000005</v>
      </c>
      <c r="H48" s="35">
        <v>218500</v>
      </c>
      <c r="I48" s="16">
        <f t="shared" si="1"/>
        <v>4370</v>
      </c>
      <c r="J48" s="16">
        <f t="shared" si="2"/>
        <v>3146.4</v>
      </c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</row>
    <row r="49" spans="1:28" ht="14.25" customHeight="1" x14ac:dyDescent="0.25">
      <c r="A49" s="36" t="s">
        <v>14</v>
      </c>
      <c r="B49" s="33" t="s">
        <v>18</v>
      </c>
      <c r="C49" s="29">
        <v>1300</v>
      </c>
      <c r="D49" s="12">
        <v>600</v>
      </c>
      <c r="E49" s="12">
        <v>20</v>
      </c>
      <c r="F49" s="24">
        <f>16-2+20-1-2-2</f>
        <v>29</v>
      </c>
      <c r="G49" s="12">
        <f t="shared" si="0"/>
        <v>0.45239999999999997</v>
      </c>
      <c r="H49" s="35">
        <v>218500</v>
      </c>
      <c r="I49" s="16">
        <f t="shared" si="1"/>
        <v>4370</v>
      </c>
      <c r="J49" s="16">
        <f t="shared" si="2"/>
        <v>3408.6</v>
      </c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</row>
    <row r="50" spans="1:28" ht="14.25" customHeight="1" x14ac:dyDescent="0.25">
      <c r="A50" s="36" t="s">
        <v>14</v>
      </c>
      <c r="B50" s="33" t="s">
        <v>18</v>
      </c>
      <c r="C50" s="29">
        <v>1400</v>
      </c>
      <c r="D50" s="12">
        <v>600</v>
      </c>
      <c r="E50" s="12">
        <v>20</v>
      </c>
      <c r="F50" s="24">
        <f>9+2-4-2</f>
        <v>5</v>
      </c>
      <c r="G50" s="12">
        <f t="shared" si="0"/>
        <v>8.4000000000000005E-2</v>
      </c>
      <c r="H50" s="35">
        <v>218500</v>
      </c>
      <c r="I50" s="16">
        <f t="shared" si="1"/>
        <v>4370</v>
      </c>
      <c r="J50" s="16">
        <f t="shared" si="2"/>
        <v>3670.8</v>
      </c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</row>
    <row r="51" spans="1:28" ht="14.25" customHeight="1" x14ac:dyDescent="0.25">
      <c r="A51" s="36" t="s">
        <v>14</v>
      </c>
      <c r="B51" s="33" t="s">
        <v>18</v>
      </c>
      <c r="C51" s="29">
        <v>1500</v>
      </c>
      <c r="D51" s="24">
        <v>600</v>
      </c>
      <c r="E51" s="24">
        <v>20</v>
      </c>
      <c r="F51" s="24">
        <f>22-3</f>
        <v>19</v>
      </c>
      <c r="G51" s="12">
        <f t="shared" si="0"/>
        <v>0.34200000000000003</v>
      </c>
      <c r="H51" s="35">
        <v>218500</v>
      </c>
      <c r="I51" s="16">
        <f t="shared" si="1"/>
        <v>4370</v>
      </c>
      <c r="J51" s="16">
        <f t="shared" si="2"/>
        <v>3933</v>
      </c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</row>
    <row r="52" spans="1:28" ht="14.25" customHeight="1" x14ac:dyDescent="0.25">
      <c r="A52" s="36" t="s">
        <v>14</v>
      </c>
      <c r="B52" s="33" t="s">
        <v>18</v>
      </c>
      <c r="C52" s="37">
        <v>2000</v>
      </c>
      <c r="D52" s="38">
        <v>600</v>
      </c>
      <c r="E52" s="38">
        <v>20</v>
      </c>
      <c r="F52" s="38">
        <f>15-2-1-1</f>
        <v>11</v>
      </c>
      <c r="G52" s="12">
        <f t="shared" si="0"/>
        <v>0.26400000000000001</v>
      </c>
      <c r="H52" s="35">
        <v>258500</v>
      </c>
      <c r="I52" s="16">
        <f t="shared" si="1"/>
        <v>5170</v>
      </c>
      <c r="J52" s="16">
        <f t="shared" si="2"/>
        <v>6204</v>
      </c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</row>
    <row r="53" spans="1:28" ht="14.25" customHeight="1" x14ac:dyDescent="0.25">
      <c r="A53" s="36" t="s">
        <v>14</v>
      </c>
      <c r="B53" s="33" t="s">
        <v>18</v>
      </c>
      <c r="C53" s="39">
        <v>2200</v>
      </c>
      <c r="D53" s="28">
        <v>600</v>
      </c>
      <c r="E53" s="28">
        <v>20</v>
      </c>
      <c r="F53" s="28">
        <f>13-1-2</f>
        <v>10</v>
      </c>
      <c r="G53" s="12">
        <f t="shared" si="0"/>
        <v>0.26400000000000001</v>
      </c>
      <c r="H53" s="35">
        <v>258500</v>
      </c>
      <c r="I53" s="16">
        <f t="shared" si="1"/>
        <v>5170</v>
      </c>
      <c r="J53" s="16">
        <f t="shared" si="2"/>
        <v>6824.4</v>
      </c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</row>
    <row r="54" spans="1:28" ht="14.25" customHeight="1" x14ac:dyDescent="0.25">
      <c r="A54" s="36" t="s">
        <v>14</v>
      </c>
      <c r="B54" s="33" t="s">
        <v>18</v>
      </c>
      <c r="C54" s="39">
        <v>2300</v>
      </c>
      <c r="D54" s="28">
        <v>600</v>
      </c>
      <c r="E54" s="28">
        <v>20</v>
      </c>
      <c r="F54" s="28">
        <v>3</v>
      </c>
      <c r="G54" s="12">
        <f t="shared" si="0"/>
        <v>8.2799999999999999E-2</v>
      </c>
      <c r="H54" s="35">
        <v>258500</v>
      </c>
      <c r="I54" s="16">
        <f t="shared" si="1"/>
        <v>5170</v>
      </c>
      <c r="J54" s="16">
        <f t="shared" si="2"/>
        <v>7134.6</v>
      </c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</row>
    <row r="55" spans="1:28" ht="14.25" customHeight="1" x14ac:dyDescent="0.25">
      <c r="A55" s="36" t="s">
        <v>14</v>
      </c>
      <c r="B55" s="33" t="s">
        <v>18</v>
      </c>
      <c r="C55" s="39">
        <v>2400</v>
      </c>
      <c r="D55" s="28">
        <v>600</v>
      </c>
      <c r="E55" s="28">
        <v>20</v>
      </c>
      <c r="F55" s="28">
        <f>8-2</f>
        <v>6</v>
      </c>
      <c r="G55" s="12">
        <f t="shared" si="0"/>
        <v>0.17280000000000001</v>
      </c>
      <c r="H55" s="35">
        <v>258500</v>
      </c>
      <c r="I55" s="16">
        <f t="shared" si="1"/>
        <v>5170</v>
      </c>
      <c r="J55" s="16">
        <f t="shared" si="2"/>
        <v>7444.8</v>
      </c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</row>
    <row r="56" spans="1:28" ht="14.25" customHeight="1" x14ac:dyDescent="0.25">
      <c r="A56" s="36" t="s">
        <v>14</v>
      </c>
      <c r="B56" s="33" t="s">
        <v>18</v>
      </c>
      <c r="C56" s="39">
        <v>2500</v>
      </c>
      <c r="D56" s="28">
        <v>600</v>
      </c>
      <c r="E56" s="28">
        <v>20</v>
      </c>
      <c r="F56" s="28">
        <v>3</v>
      </c>
      <c r="G56" s="12">
        <f t="shared" si="0"/>
        <v>0.09</v>
      </c>
      <c r="H56" s="35">
        <v>278500</v>
      </c>
      <c r="I56" s="16">
        <f t="shared" si="1"/>
        <v>5570</v>
      </c>
      <c r="J56" s="16">
        <f t="shared" si="2"/>
        <v>8355</v>
      </c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</row>
    <row r="57" spans="1:28" ht="14.25" customHeight="1" x14ac:dyDescent="0.25">
      <c r="A57" s="36" t="s">
        <v>14</v>
      </c>
      <c r="B57" s="33" t="s">
        <v>18</v>
      </c>
      <c r="C57" s="39">
        <v>2600</v>
      </c>
      <c r="D57" s="28">
        <v>600</v>
      </c>
      <c r="E57" s="28">
        <v>20</v>
      </c>
      <c r="F57" s="28">
        <v>6</v>
      </c>
      <c r="G57" s="12">
        <f t="shared" si="0"/>
        <v>0.18719999999999998</v>
      </c>
      <c r="H57" s="35">
        <v>278500</v>
      </c>
      <c r="I57" s="16">
        <f t="shared" si="1"/>
        <v>5570</v>
      </c>
      <c r="J57" s="16">
        <f t="shared" si="2"/>
        <v>8689.2000000000007</v>
      </c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</row>
    <row r="58" spans="1:28" ht="14.25" customHeight="1" x14ac:dyDescent="0.25">
      <c r="A58" s="36" t="s">
        <v>14</v>
      </c>
      <c r="B58" s="33" t="s">
        <v>18</v>
      </c>
      <c r="C58" s="39">
        <v>2700</v>
      </c>
      <c r="D58" s="28">
        <v>600</v>
      </c>
      <c r="E58" s="28">
        <v>20</v>
      </c>
      <c r="F58" s="28">
        <v>1</v>
      </c>
      <c r="G58" s="12">
        <f t="shared" si="0"/>
        <v>3.2399999999999998E-2</v>
      </c>
      <c r="H58" s="35">
        <v>278500</v>
      </c>
      <c r="I58" s="16">
        <f t="shared" si="1"/>
        <v>5570</v>
      </c>
      <c r="J58" s="16">
        <f t="shared" si="2"/>
        <v>9023.4</v>
      </c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</row>
    <row r="59" spans="1:28" ht="14.25" customHeight="1" x14ac:dyDescent="0.25">
      <c r="A59" s="36" t="s">
        <v>14</v>
      </c>
      <c r="B59" s="33" t="s">
        <v>18</v>
      </c>
      <c r="C59" s="39">
        <v>2800</v>
      </c>
      <c r="D59" s="28">
        <v>600</v>
      </c>
      <c r="E59" s="28">
        <v>20</v>
      </c>
      <c r="F59" s="28">
        <f>10-1</f>
        <v>9</v>
      </c>
      <c r="G59" s="12">
        <f t="shared" si="0"/>
        <v>0.3024</v>
      </c>
      <c r="H59" s="35">
        <v>278500</v>
      </c>
      <c r="I59" s="16">
        <f t="shared" si="1"/>
        <v>5570</v>
      </c>
      <c r="J59" s="16">
        <f t="shared" si="2"/>
        <v>9357.6</v>
      </c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</row>
    <row r="60" spans="1:28" ht="14.25" customHeight="1" x14ac:dyDescent="0.25">
      <c r="A60" s="36" t="s">
        <v>14</v>
      </c>
      <c r="B60" s="33" t="s">
        <v>18</v>
      </c>
      <c r="C60" s="39">
        <v>3300</v>
      </c>
      <c r="D60" s="28">
        <v>600</v>
      </c>
      <c r="E60" s="28">
        <v>20</v>
      </c>
      <c r="F60" s="28">
        <v>1</v>
      </c>
      <c r="G60" s="12">
        <f t="shared" si="0"/>
        <v>3.9600000000000003E-2</v>
      </c>
      <c r="H60" s="35">
        <v>330000</v>
      </c>
      <c r="I60" s="16">
        <f t="shared" si="1"/>
        <v>6600</v>
      </c>
      <c r="J60" s="16">
        <f t="shared" si="2"/>
        <v>13068</v>
      </c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</row>
    <row r="61" spans="1:28" ht="14.25" customHeight="1" x14ac:dyDescent="0.25">
      <c r="A61" s="36" t="s">
        <v>14</v>
      </c>
      <c r="B61" s="33" t="s">
        <v>18</v>
      </c>
      <c r="C61" s="39">
        <v>3500</v>
      </c>
      <c r="D61" s="28">
        <v>600</v>
      </c>
      <c r="E61" s="28">
        <v>20</v>
      </c>
      <c r="F61" s="28">
        <v>1</v>
      </c>
      <c r="G61" s="12">
        <f t="shared" si="0"/>
        <v>4.2000000000000003E-2</v>
      </c>
      <c r="H61" s="35">
        <v>330000</v>
      </c>
      <c r="I61" s="16">
        <f t="shared" si="1"/>
        <v>6600</v>
      </c>
      <c r="J61" s="16">
        <f t="shared" si="2"/>
        <v>13860</v>
      </c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</row>
    <row r="62" spans="1:28" ht="14.25" customHeight="1" x14ac:dyDescent="0.25">
      <c r="A62" s="36" t="s">
        <v>14</v>
      </c>
      <c r="B62" s="33" t="s">
        <v>18</v>
      </c>
      <c r="C62" s="25">
        <v>900</v>
      </c>
      <c r="D62" s="23">
        <v>300</v>
      </c>
      <c r="E62" s="23">
        <v>40</v>
      </c>
      <c r="F62" s="23">
        <f>218+77+12+22+80-6-2-1+25</f>
        <v>425</v>
      </c>
      <c r="G62" s="12">
        <f t="shared" si="0"/>
        <v>4.59</v>
      </c>
      <c r="H62" s="30">
        <v>190000</v>
      </c>
      <c r="I62" s="16">
        <f t="shared" si="1"/>
        <v>7600</v>
      </c>
      <c r="J62" s="16">
        <f t="shared" si="2"/>
        <v>2052</v>
      </c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</row>
    <row r="63" spans="1:28" ht="14.25" customHeight="1" x14ac:dyDescent="0.25">
      <c r="A63" s="36" t="s">
        <v>14</v>
      </c>
      <c r="B63" s="33" t="s">
        <v>18</v>
      </c>
      <c r="C63" s="25">
        <v>1000</v>
      </c>
      <c r="D63" s="23">
        <v>300</v>
      </c>
      <c r="E63" s="23">
        <v>40</v>
      </c>
      <c r="F63" s="24">
        <f>96+60+26+52-16-24+54-60-2-2-12-1+30</f>
        <v>201</v>
      </c>
      <c r="G63" s="12">
        <f t="shared" si="0"/>
        <v>2.4119999999999999</v>
      </c>
      <c r="H63" s="30">
        <v>240000</v>
      </c>
      <c r="I63" s="16">
        <f t="shared" si="1"/>
        <v>9600</v>
      </c>
      <c r="J63" s="16">
        <f t="shared" si="2"/>
        <v>2880</v>
      </c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</row>
    <row r="64" spans="1:28" ht="14.25" customHeight="1" x14ac:dyDescent="0.25">
      <c r="A64" s="36" t="s">
        <v>14</v>
      </c>
      <c r="B64" s="33" t="s">
        <v>18</v>
      </c>
      <c r="C64" s="12">
        <v>1100</v>
      </c>
      <c r="D64" s="12">
        <v>300</v>
      </c>
      <c r="E64" s="12">
        <v>40</v>
      </c>
      <c r="F64" s="13">
        <v>25</v>
      </c>
      <c r="G64" s="12">
        <f t="shared" si="0"/>
        <v>0.33</v>
      </c>
      <c r="H64" s="30">
        <v>240000</v>
      </c>
      <c r="I64" s="16">
        <f t="shared" si="1"/>
        <v>9600</v>
      </c>
      <c r="J64" s="16">
        <f t="shared" si="2"/>
        <v>3168</v>
      </c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</row>
    <row r="65" spans="1:28" ht="14.25" customHeight="1" x14ac:dyDescent="0.25">
      <c r="A65" s="36" t="s">
        <v>14</v>
      </c>
      <c r="B65" s="33" t="s">
        <v>18</v>
      </c>
      <c r="C65" s="13">
        <v>1200</v>
      </c>
      <c r="D65" s="13">
        <v>300</v>
      </c>
      <c r="E65" s="12">
        <v>40</v>
      </c>
      <c r="F65" s="13">
        <f>89+23-73+36+33-12+32-11-4-21-12-6-6-10-8-1-3+27</f>
        <v>73</v>
      </c>
      <c r="G65" s="12">
        <f t="shared" si="0"/>
        <v>1.0512000000000001</v>
      </c>
      <c r="H65" s="30">
        <v>240000</v>
      </c>
      <c r="I65" s="16">
        <f t="shared" si="1"/>
        <v>9600</v>
      </c>
      <c r="J65" s="16">
        <f t="shared" si="2"/>
        <v>3456</v>
      </c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</row>
    <row r="66" spans="1:28" ht="14.25" customHeight="1" x14ac:dyDescent="0.25">
      <c r="A66" s="36" t="s">
        <v>14</v>
      </c>
      <c r="B66" s="33" t="s">
        <v>18</v>
      </c>
      <c r="C66" s="40">
        <v>900</v>
      </c>
      <c r="D66" s="40">
        <v>600</v>
      </c>
      <c r="E66" s="22">
        <v>40</v>
      </c>
      <c r="F66" s="40">
        <f>7-1-1-1-4+8+6-1-1-1-1-1-2-4</f>
        <v>3</v>
      </c>
      <c r="G66" s="22">
        <f t="shared" si="0"/>
        <v>6.4799999999999996E-2</v>
      </c>
      <c r="H66" s="30">
        <v>240000</v>
      </c>
      <c r="I66" s="16">
        <f t="shared" si="1"/>
        <v>9600</v>
      </c>
      <c r="J66" s="16">
        <f t="shared" si="2"/>
        <v>5184</v>
      </c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</row>
    <row r="67" spans="1:28" ht="14.25" customHeight="1" x14ac:dyDescent="0.25">
      <c r="A67" s="36" t="s">
        <v>14</v>
      </c>
      <c r="B67" s="33" t="s">
        <v>18</v>
      </c>
      <c r="C67" s="41">
        <v>1300</v>
      </c>
      <c r="D67" s="42">
        <v>600</v>
      </c>
      <c r="E67" s="42">
        <v>40</v>
      </c>
      <c r="F67" s="42">
        <v>11</v>
      </c>
      <c r="G67" s="22">
        <f t="shared" si="0"/>
        <v>0.34320000000000001</v>
      </c>
      <c r="H67" s="30">
        <v>240000</v>
      </c>
      <c r="I67" s="16">
        <f t="shared" si="1"/>
        <v>9600</v>
      </c>
      <c r="J67" s="16">
        <f t="shared" si="2"/>
        <v>7488</v>
      </c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</row>
    <row r="68" spans="1:28" ht="14.25" customHeight="1" x14ac:dyDescent="0.25">
      <c r="A68" s="36" t="s">
        <v>14</v>
      </c>
      <c r="B68" s="33" t="s">
        <v>18</v>
      </c>
      <c r="C68" s="42">
        <v>1400</v>
      </c>
      <c r="D68" s="42">
        <v>600</v>
      </c>
      <c r="E68" s="42">
        <v>40</v>
      </c>
      <c r="F68" s="42">
        <v>74</v>
      </c>
      <c r="G68" s="22">
        <f t="shared" si="0"/>
        <v>2.4864000000000002</v>
      </c>
      <c r="H68" s="30">
        <v>240000</v>
      </c>
      <c r="I68" s="16">
        <f t="shared" si="1"/>
        <v>9600</v>
      </c>
      <c r="J68" s="16">
        <f t="shared" si="2"/>
        <v>8064</v>
      </c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 spans="1:28" ht="14.25" customHeight="1" x14ac:dyDescent="0.25">
      <c r="A69" s="36" t="s">
        <v>14</v>
      </c>
      <c r="B69" s="33" t="s">
        <v>18</v>
      </c>
      <c r="C69" s="42">
        <v>1500</v>
      </c>
      <c r="D69" s="42">
        <v>600</v>
      </c>
      <c r="E69" s="42">
        <v>40</v>
      </c>
      <c r="F69" s="42">
        <v>3</v>
      </c>
      <c r="G69" s="22">
        <f t="shared" si="0"/>
        <v>0.108</v>
      </c>
      <c r="H69" s="30">
        <v>240000</v>
      </c>
      <c r="I69" s="16">
        <f t="shared" si="1"/>
        <v>9600</v>
      </c>
      <c r="J69" s="16">
        <f t="shared" si="2"/>
        <v>8640</v>
      </c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</row>
    <row r="70" spans="1:28" ht="14.25" customHeight="1" x14ac:dyDescent="0.25">
      <c r="A70" s="36" t="s">
        <v>14</v>
      </c>
      <c r="B70" s="33" t="s">
        <v>18</v>
      </c>
      <c r="C70" s="43">
        <v>1600</v>
      </c>
      <c r="D70" s="43">
        <v>600</v>
      </c>
      <c r="E70" s="43">
        <v>40</v>
      </c>
      <c r="F70" s="43">
        <f>3+2-2+17-3+2+9-1+8-1-1+2-1-24-1-1-2-1-2+1</f>
        <v>4</v>
      </c>
      <c r="G70" s="12">
        <f t="shared" si="0"/>
        <v>0.15359999999999999</v>
      </c>
      <c r="H70" s="30">
        <v>258000</v>
      </c>
      <c r="I70" s="16">
        <f t="shared" si="1"/>
        <v>10320</v>
      </c>
      <c r="J70" s="16">
        <f t="shared" si="2"/>
        <v>9907.2000000000007</v>
      </c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</row>
    <row r="71" spans="1:28" ht="14.25" customHeight="1" x14ac:dyDescent="0.25">
      <c r="A71" s="36" t="s">
        <v>14</v>
      </c>
      <c r="B71" s="33" t="s">
        <v>18</v>
      </c>
      <c r="C71" s="44">
        <v>1800</v>
      </c>
      <c r="D71" s="43">
        <v>600</v>
      </c>
      <c r="E71" s="43">
        <v>40</v>
      </c>
      <c r="F71" s="13">
        <v>21</v>
      </c>
      <c r="G71" s="12">
        <f t="shared" si="0"/>
        <v>0.90720000000000001</v>
      </c>
      <c r="H71" s="30">
        <v>258000</v>
      </c>
      <c r="I71" s="16">
        <f t="shared" si="1"/>
        <v>10320</v>
      </c>
      <c r="J71" s="16">
        <f t="shared" si="2"/>
        <v>11145.6</v>
      </c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</row>
    <row r="72" spans="1:28" ht="14.25" customHeight="1" x14ac:dyDescent="0.25">
      <c r="A72" s="36" t="s">
        <v>14</v>
      </c>
      <c r="B72" s="33" t="s">
        <v>18</v>
      </c>
      <c r="C72" s="44">
        <v>1900</v>
      </c>
      <c r="D72" s="43">
        <v>600</v>
      </c>
      <c r="E72" s="43">
        <v>40</v>
      </c>
      <c r="F72" s="13">
        <f>1</f>
        <v>1</v>
      </c>
      <c r="G72" s="12">
        <f t="shared" si="0"/>
        <v>4.5600000000000002E-2</v>
      </c>
      <c r="H72" s="30">
        <v>258000</v>
      </c>
      <c r="I72" s="16">
        <f t="shared" si="1"/>
        <v>10320</v>
      </c>
      <c r="J72" s="16">
        <f t="shared" si="2"/>
        <v>11764.8</v>
      </c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</row>
    <row r="73" spans="1:28" ht="14.25" customHeight="1" x14ac:dyDescent="0.25">
      <c r="A73" s="36" t="s">
        <v>14</v>
      </c>
      <c r="B73" s="33" t="s">
        <v>18</v>
      </c>
      <c r="C73" s="19">
        <v>2000</v>
      </c>
      <c r="D73" s="42">
        <v>600</v>
      </c>
      <c r="E73" s="42">
        <v>40</v>
      </c>
      <c r="F73" s="20">
        <v>19</v>
      </c>
      <c r="G73" s="22">
        <f t="shared" si="0"/>
        <v>0.91200000000000003</v>
      </c>
      <c r="H73" s="30">
        <v>265000</v>
      </c>
      <c r="I73" s="16">
        <f t="shared" si="1"/>
        <v>10600</v>
      </c>
      <c r="J73" s="16">
        <f t="shared" si="2"/>
        <v>12720</v>
      </c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</row>
    <row r="74" spans="1:28" ht="14.25" customHeight="1" x14ac:dyDescent="0.25">
      <c r="A74" s="36" t="s">
        <v>14</v>
      </c>
      <c r="B74" s="33" t="s">
        <v>18</v>
      </c>
      <c r="C74" s="44">
        <v>2200</v>
      </c>
      <c r="D74" s="43">
        <v>600</v>
      </c>
      <c r="E74" s="43">
        <v>40</v>
      </c>
      <c r="F74" s="13">
        <f>2+7-1-2+3+1-1+13-1-1+8</f>
        <v>28</v>
      </c>
      <c r="G74" s="12">
        <f t="shared" si="0"/>
        <v>1.4784000000000002</v>
      </c>
      <c r="H74" s="30">
        <v>280000</v>
      </c>
      <c r="I74" s="16">
        <f t="shared" si="1"/>
        <v>11200</v>
      </c>
      <c r="J74" s="16">
        <f t="shared" si="2"/>
        <v>14784</v>
      </c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</row>
    <row r="75" spans="1:28" ht="14.25" customHeight="1" x14ac:dyDescent="0.25">
      <c r="A75" s="36" t="s">
        <v>14</v>
      </c>
      <c r="B75" s="33" t="s">
        <v>18</v>
      </c>
      <c r="C75" s="44">
        <v>2300</v>
      </c>
      <c r="D75" s="43">
        <v>600</v>
      </c>
      <c r="E75" s="43">
        <v>40</v>
      </c>
      <c r="F75" s="13">
        <v>1</v>
      </c>
      <c r="G75" s="12">
        <f t="shared" si="0"/>
        <v>5.5200000000000006E-2</v>
      </c>
      <c r="H75" s="30">
        <v>280000</v>
      </c>
      <c r="I75" s="16">
        <f t="shared" si="1"/>
        <v>11200</v>
      </c>
      <c r="J75" s="16">
        <f t="shared" si="2"/>
        <v>15456</v>
      </c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</row>
    <row r="76" spans="1:28" ht="14.25" customHeight="1" x14ac:dyDescent="0.25">
      <c r="A76" s="36" t="s">
        <v>14</v>
      </c>
      <c r="B76" s="33" t="s">
        <v>18</v>
      </c>
      <c r="C76" s="44">
        <v>2400</v>
      </c>
      <c r="D76" s="43">
        <v>600</v>
      </c>
      <c r="E76" s="43">
        <v>40</v>
      </c>
      <c r="F76" s="13">
        <f>6-3+3+1+7-1+5</f>
        <v>18</v>
      </c>
      <c r="G76" s="12">
        <f t="shared" si="0"/>
        <v>1.0367999999999999</v>
      </c>
      <c r="H76" s="30">
        <v>280000</v>
      </c>
      <c r="I76" s="16">
        <f t="shared" si="1"/>
        <v>11200</v>
      </c>
      <c r="J76" s="16">
        <f t="shared" si="2"/>
        <v>16128</v>
      </c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</row>
    <row r="77" spans="1:28" ht="14.25" customHeight="1" x14ac:dyDescent="0.25">
      <c r="A77" s="36" t="s">
        <v>14</v>
      </c>
      <c r="B77" s="33" t="s">
        <v>18</v>
      </c>
      <c r="C77" s="19">
        <v>2600</v>
      </c>
      <c r="D77" s="42">
        <v>600</v>
      </c>
      <c r="E77" s="42">
        <v>40</v>
      </c>
      <c r="F77" s="20">
        <f>3+2+9-6+4-2</f>
        <v>10</v>
      </c>
      <c r="G77" s="22">
        <f t="shared" si="0"/>
        <v>0.624</v>
      </c>
      <c r="H77" s="30">
        <v>280000</v>
      </c>
      <c r="I77" s="16">
        <f t="shared" si="1"/>
        <v>11200</v>
      </c>
      <c r="J77" s="16">
        <f t="shared" si="2"/>
        <v>17472</v>
      </c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</row>
    <row r="78" spans="1:28" ht="14.25" customHeight="1" x14ac:dyDescent="0.25">
      <c r="A78" s="36" t="s">
        <v>14</v>
      </c>
      <c r="B78" s="33" t="s">
        <v>18</v>
      </c>
      <c r="C78" s="19">
        <v>2800</v>
      </c>
      <c r="D78" s="42">
        <v>600</v>
      </c>
      <c r="E78" s="42">
        <v>40</v>
      </c>
      <c r="F78" s="20">
        <f>8+3+9+1-5-1-5+8</f>
        <v>18</v>
      </c>
      <c r="G78" s="22">
        <f t="shared" si="0"/>
        <v>1.2096</v>
      </c>
      <c r="H78" s="30">
        <v>280000</v>
      </c>
      <c r="I78" s="16">
        <f t="shared" si="1"/>
        <v>11200</v>
      </c>
      <c r="J78" s="16">
        <f t="shared" si="2"/>
        <v>18816</v>
      </c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</row>
    <row r="79" spans="1:28" ht="14.25" customHeight="1" x14ac:dyDescent="0.25">
      <c r="A79" s="14" t="s">
        <v>14</v>
      </c>
      <c r="B79" s="24" t="s">
        <v>15</v>
      </c>
      <c r="C79" s="14">
        <v>900</v>
      </c>
      <c r="D79" s="45">
        <v>300</v>
      </c>
      <c r="E79" s="14">
        <v>40</v>
      </c>
      <c r="F79" s="12">
        <v>768</v>
      </c>
      <c r="G79" s="12">
        <f t="shared" si="0"/>
        <v>8.2943999999999996</v>
      </c>
      <c r="H79" s="30">
        <v>190000</v>
      </c>
      <c r="I79" s="16">
        <f t="shared" si="1"/>
        <v>7600</v>
      </c>
      <c r="J79" s="16">
        <f t="shared" si="2"/>
        <v>2052</v>
      </c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</row>
    <row r="80" spans="1:28" ht="14.25" customHeight="1" x14ac:dyDescent="0.25">
      <c r="A80" s="14" t="s">
        <v>14</v>
      </c>
      <c r="B80" s="24" t="s">
        <v>15</v>
      </c>
      <c r="C80" s="12">
        <v>1000</v>
      </c>
      <c r="D80" s="12">
        <v>300</v>
      </c>
      <c r="E80" s="12">
        <v>40</v>
      </c>
      <c r="F80" s="12">
        <v>163</v>
      </c>
      <c r="G80" s="12">
        <f t="shared" si="0"/>
        <v>1.956</v>
      </c>
      <c r="H80" s="30">
        <v>250000</v>
      </c>
      <c r="I80" s="16">
        <f t="shared" si="1"/>
        <v>10000</v>
      </c>
      <c r="J80" s="16">
        <f t="shared" si="2"/>
        <v>3000</v>
      </c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</row>
    <row r="81" spans="1:28" ht="14.25" customHeight="1" x14ac:dyDescent="0.25">
      <c r="A81" s="12" t="s">
        <v>14</v>
      </c>
      <c r="B81" s="24" t="s">
        <v>15</v>
      </c>
      <c r="C81" s="12">
        <v>1100</v>
      </c>
      <c r="D81" s="12">
        <v>300</v>
      </c>
      <c r="E81" s="12">
        <v>40</v>
      </c>
      <c r="F81" s="12">
        <v>51</v>
      </c>
      <c r="G81" s="12">
        <f t="shared" si="0"/>
        <v>0.67320000000000002</v>
      </c>
      <c r="H81" s="30">
        <v>250000</v>
      </c>
      <c r="I81" s="16">
        <f t="shared" si="1"/>
        <v>10000</v>
      </c>
      <c r="J81" s="16">
        <f t="shared" si="2"/>
        <v>3300</v>
      </c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</row>
    <row r="82" spans="1:28" ht="14.25" customHeight="1" x14ac:dyDescent="0.25">
      <c r="A82" s="12" t="s">
        <v>14</v>
      </c>
      <c r="B82" s="24" t="s">
        <v>15</v>
      </c>
      <c r="C82" s="12">
        <v>1200</v>
      </c>
      <c r="D82" s="12">
        <v>300</v>
      </c>
      <c r="E82" s="12">
        <v>40</v>
      </c>
      <c r="F82" s="12">
        <v>286</v>
      </c>
      <c r="G82" s="12">
        <f t="shared" si="0"/>
        <v>4.1183999999999994</v>
      </c>
      <c r="H82" s="30">
        <v>250000</v>
      </c>
      <c r="I82" s="16">
        <f t="shared" si="1"/>
        <v>10000</v>
      </c>
      <c r="J82" s="16">
        <f t="shared" si="2"/>
        <v>3600</v>
      </c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</row>
    <row r="83" spans="1:28" ht="14.25" customHeight="1" x14ac:dyDescent="0.25">
      <c r="A83" s="25" t="s">
        <v>14</v>
      </c>
      <c r="B83" s="13" t="s">
        <v>15</v>
      </c>
      <c r="C83" s="23">
        <v>1300</v>
      </c>
      <c r="D83" s="13">
        <v>600</v>
      </c>
      <c r="E83" s="12">
        <v>40</v>
      </c>
      <c r="F83" s="13">
        <v>78</v>
      </c>
      <c r="G83" s="12">
        <f t="shared" si="0"/>
        <v>2.4335999999999998</v>
      </c>
      <c r="H83" s="30">
        <v>250000</v>
      </c>
      <c r="I83" s="16">
        <f t="shared" si="1"/>
        <v>10000</v>
      </c>
      <c r="J83" s="16">
        <f t="shared" si="2"/>
        <v>7800</v>
      </c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</row>
    <row r="84" spans="1:28" ht="14.25" customHeight="1" x14ac:dyDescent="0.25">
      <c r="A84" s="25" t="s">
        <v>14</v>
      </c>
      <c r="B84" s="13" t="s">
        <v>15</v>
      </c>
      <c r="C84" s="24">
        <v>1400</v>
      </c>
      <c r="D84" s="13">
        <v>600</v>
      </c>
      <c r="E84" s="12">
        <v>40</v>
      </c>
      <c r="F84" s="13">
        <v>148</v>
      </c>
      <c r="G84" s="12">
        <f t="shared" si="0"/>
        <v>4.9728000000000003</v>
      </c>
      <c r="H84" s="30">
        <v>250000</v>
      </c>
      <c r="I84" s="16">
        <f t="shared" si="1"/>
        <v>10000</v>
      </c>
      <c r="J84" s="16">
        <f t="shared" si="2"/>
        <v>8400</v>
      </c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</row>
    <row r="85" spans="1:28" ht="14.25" customHeight="1" x14ac:dyDescent="0.25">
      <c r="A85" s="25" t="s">
        <v>14</v>
      </c>
      <c r="B85" s="13" t="s">
        <v>15</v>
      </c>
      <c r="C85" s="24">
        <v>1500</v>
      </c>
      <c r="D85" s="13">
        <v>600</v>
      </c>
      <c r="E85" s="12">
        <v>40</v>
      </c>
      <c r="F85" s="13">
        <v>54</v>
      </c>
      <c r="G85" s="12">
        <f t="shared" si="0"/>
        <v>1.944</v>
      </c>
      <c r="H85" s="30">
        <v>250000</v>
      </c>
      <c r="I85" s="16">
        <f t="shared" si="1"/>
        <v>10000</v>
      </c>
      <c r="J85" s="16">
        <f t="shared" si="2"/>
        <v>9000</v>
      </c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</row>
    <row r="86" spans="1:28" ht="14.25" customHeight="1" x14ac:dyDescent="0.25">
      <c r="A86" s="12" t="s">
        <v>14</v>
      </c>
      <c r="B86" s="13" t="s">
        <v>15</v>
      </c>
      <c r="C86" s="13">
        <v>1600</v>
      </c>
      <c r="D86" s="26">
        <v>600</v>
      </c>
      <c r="E86" s="12">
        <v>40</v>
      </c>
      <c r="F86" s="13">
        <v>179</v>
      </c>
      <c r="G86" s="12">
        <f t="shared" si="0"/>
        <v>6.8736000000000006</v>
      </c>
      <c r="H86" s="35">
        <v>270000</v>
      </c>
      <c r="I86" s="16">
        <f t="shared" si="1"/>
        <v>10800</v>
      </c>
      <c r="J86" s="16">
        <f t="shared" si="2"/>
        <v>10368</v>
      </c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</row>
    <row r="87" spans="1:28" ht="14.25" customHeight="1" x14ac:dyDescent="0.25">
      <c r="A87" s="12" t="s">
        <v>14</v>
      </c>
      <c r="B87" s="13" t="s">
        <v>15</v>
      </c>
      <c r="C87" s="13">
        <v>1700</v>
      </c>
      <c r="D87" s="26">
        <v>600</v>
      </c>
      <c r="E87" s="12">
        <v>40</v>
      </c>
      <c r="F87" s="13">
        <v>1</v>
      </c>
      <c r="G87" s="12">
        <f t="shared" si="0"/>
        <v>4.0799999999999996E-2</v>
      </c>
      <c r="H87" s="35">
        <v>270000</v>
      </c>
      <c r="I87" s="16">
        <f t="shared" si="1"/>
        <v>10800</v>
      </c>
      <c r="J87" s="16">
        <f t="shared" si="2"/>
        <v>11016</v>
      </c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</row>
    <row r="88" spans="1:28" ht="14.25" customHeight="1" x14ac:dyDescent="0.25">
      <c r="A88" s="12" t="s">
        <v>14</v>
      </c>
      <c r="B88" s="13" t="s">
        <v>15</v>
      </c>
      <c r="C88" s="12">
        <v>1800</v>
      </c>
      <c r="D88" s="26">
        <v>600</v>
      </c>
      <c r="E88" s="12">
        <v>40</v>
      </c>
      <c r="F88" s="13">
        <f>15-2+18-2-1-3+2-3+44-10-1-2-1-2+12-1-4-4-1-1-5+13-1-2-1-2-4-6-5-1-1+15+27-1-1-1-1-1-1-1-2+14-5+17-2+2-1-3-2-1+13</f>
        <v>103</v>
      </c>
      <c r="G88" s="12">
        <f t="shared" si="0"/>
        <v>4.4496000000000002</v>
      </c>
      <c r="H88" s="35">
        <v>270000</v>
      </c>
      <c r="I88" s="16">
        <f t="shared" si="1"/>
        <v>10800</v>
      </c>
      <c r="J88" s="16">
        <f t="shared" si="2"/>
        <v>11664</v>
      </c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</row>
    <row r="89" spans="1:28" ht="14.25" customHeight="1" x14ac:dyDescent="0.25">
      <c r="A89" s="12" t="s">
        <v>14</v>
      </c>
      <c r="B89" s="13" t="s">
        <v>15</v>
      </c>
      <c r="C89" s="12">
        <v>1900</v>
      </c>
      <c r="D89" s="26">
        <v>600</v>
      </c>
      <c r="E89" s="12">
        <v>40</v>
      </c>
      <c r="F89" s="13">
        <f>12-1+6-1-1+9-12-2-1-1+4+13-1-2+1-1-4-1-2-1+14-1-1-2-3-2-1-5-1+14-2+11-1</f>
        <v>34</v>
      </c>
      <c r="G89" s="12">
        <f t="shared" si="0"/>
        <v>1.5504</v>
      </c>
      <c r="H89" s="35">
        <v>270000</v>
      </c>
      <c r="I89" s="16">
        <f t="shared" si="1"/>
        <v>10800</v>
      </c>
      <c r="J89" s="16">
        <f t="shared" si="2"/>
        <v>12312</v>
      </c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</row>
    <row r="90" spans="1:28" ht="14.25" customHeight="1" x14ac:dyDescent="0.25">
      <c r="A90" s="12" t="s">
        <v>14</v>
      </c>
      <c r="B90" s="13" t="s">
        <v>15</v>
      </c>
      <c r="C90" s="12">
        <v>2000</v>
      </c>
      <c r="D90" s="26">
        <v>600</v>
      </c>
      <c r="E90" s="12">
        <v>40</v>
      </c>
      <c r="F90" s="13">
        <v>46</v>
      </c>
      <c r="G90" s="12">
        <f t="shared" si="0"/>
        <v>2.2080000000000002</v>
      </c>
      <c r="H90" s="35">
        <v>270000</v>
      </c>
      <c r="I90" s="16">
        <f t="shared" si="1"/>
        <v>10800</v>
      </c>
      <c r="J90" s="16">
        <f t="shared" si="2"/>
        <v>12960</v>
      </c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</row>
    <row r="91" spans="1:28" ht="14.25" customHeight="1" x14ac:dyDescent="0.25">
      <c r="A91" s="12" t="s">
        <v>14</v>
      </c>
      <c r="B91" s="13" t="s">
        <v>15</v>
      </c>
      <c r="C91" s="13">
        <v>2100</v>
      </c>
      <c r="D91" s="26">
        <v>600</v>
      </c>
      <c r="E91" s="12">
        <v>40</v>
      </c>
      <c r="F91" s="13">
        <v>3</v>
      </c>
      <c r="G91" s="12">
        <f t="shared" si="0"/>
        <v>0.1512</v>
      </c>
      <c r="H91" s="35">
        <v>270000</v>
      </c>
      <c r="I91" s="16">
        <f t="shared" si="1"/>
        <v>10800</v>
      </c>
      <c r="J91" s="16">
        <f t="shared" si="2"/>
        <v>13608</v>
      </c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</row>
    <row r="92" spans="1:28" ht="14.25" customHeight="1" x14ac:dyDescent="0.25">
      <c r="A92" s="12" t="s">
        <v>14</v>
      </c>
      <c r="B92" s="13" t="s">
        <v>15</v>
      </c>
      <c r="C92" s="12">
        <v>2200</v>
      </c>
      <c r="D92" s="26">
        <v>600</v>
      </c>
      <c r="E92" s="12">
        <v>40</v>
      </c>
      <c r="F92" s="13">
        <v>43</v>
      </c>
      <c r="G92" s="12">
        <f t="shared" si="0"/>
        <v>2.2704</v>
      </c>
      <c r="H92" s="35">
        <v>310000</v>
      </c>
      <c r="I92" s="16">
        <f t="shared" si="1"/>
        <v>12400</v>
      </c>
      <c r="J92" s="16">
        <f t="shared" si="2"/>
        <v>16368</v>
      </c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</row>
    <row r="93" spans="1:28" ht="14.25" customHeight="1" x14ac:dyDescent="0.25">
      <c r="A93" s="12" t="s">
        <v>14</v>
      </c>
      <c r="B93" s="13" t="s">
        <v>15</v>
      </c>
      <c r="C93" s="13">
        <v>2300</v>
      </c>
      <c r="D93" s="26">
        <v>600</v>
      </c>
      <c r="E93" s="12">
        <v>40</v>
      </c>
      <c r="F93" s="13">
        <v>31</v>
      </c>
      <c r="G93" s="12">
        <f t="shared" si="0"/>
        <v>1.7112000000000001</v>
      </c>
      <c r="H93" s="35">
        <v>310000</v>
      </c>
      <c r="I93" s="16">
        <f t="shared" si="1"/>
        <v>12400</v>
      </c>
      <c r="J93" s="16">
        <f t="shared" si="2"/>
        <v>17112</v>
      </c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</row>
    <row r="94" spans="1:28" ht="14.25" customHeight="1" x14ac:dyDescent="0.25">
      <c r="A94" s="12" t="s">
        <v>14</v>
      </c>
      <c r="B94" s="13" t="s">
        <v>15</v>
      </c>
      <c r="C94" s="12">
        <v>2400</v>
      </c>
      <c r="D94" s="26">
        <v>600</v>
      </c>
      <c r="E94" s="12">
        <v>40</v>
      </c>
      <c r="F94" s="13">
        <f>10+3-1-1+3-2-1-1-1+11-4-1-1+7-2-1+2-1-2+14-2-1-1-2-1-1-1+2-2+9+10</f>
        <v>41</v>
      </c>
      <c r="G94" s="12">
        <f t="shared" si="0"/>
        <v>2.3615999999999997</v>
      </c>
      <c r="H94" s="35">
        <v>310000</v>
      </c>
      <c r="I94" s="16">
        <f t="shared" si="1"/>
        <v>12400</v>
      </c>
      <c r="J94" s="16">
        <f t="shared" si="2"/>
        <v>17856</v>
      </c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</row>
    <row r="95" spans="1:28" ht="14.25" customHeight="1" x14ac:dyDescent="0.25">
      <c r="A95" s="12" t="s">
        <v>14</v>
      </c>
      <c r="B95" s="13" t="s">
        <v>15</v>
      </c>
      <c r="C95" s="12">
        <v>2500</v>
      </c>
      <c r="D95" s="26">
        <v>600</v>
      </c>
      <c r="E95" s="12">
        <v>40</v>
      </c>
      <c r="F95" s="13">
        <v>12</v>
      </c>
      <c r="G95" s="12">
        <f t="shared" si="0"/>
        <v>0.72</v>
      </c>
      <c r="H95" s="35">
        <v>310000</v>
      </c>
      <c r="I95" s="16">
        <f t="shared" si="1"/>
        <v>12400</v>
      </c>
      <c r="J95" s="16">
        <f t="shared" si="2"/>
        <v>18600</v>
      </c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</row>
    <row r="96" spans="1:28" ht="14.25" customHeight="1" x14ac:dyDescent="0.25">
      <c r="A96" s="12" t="s">
        <v>14</v>
      </c>
      <c r="B96" s="13" t="s">
        <v>15</v>
      </c>
      <c r="C96" s="13">
        <v>2600</v>
      </c>
      <c r="D96" s="26">
        <v>600</v>
      </c>
      <c r="E96" s="12">
        <v>40</v>
      </c>
      <c r="F96" s="13">
        <f>2+7-1-3-1-2+6-2-1-2-1-1+8-1+2-2-4-1-1+5+3+6-1-1+15-10-1-1+4+7-2+21-3-1+5+5-1+14-1</f>
        <v>65</v>
      </c>
      <c r="G96" s="12">
        <f t="shared" si="0"/>
        <v>4.056</v>
      </c>
      <c r="H96" s="35">
        <v>310000</v>
      </c>
      <c r="I96" s="16">
        <f t="shared" si="1"/>
        <v>12400</v>
      </c>
      <c r="J96" s="16">
        <f t="shared" si="2"/>
        <v>19344</v>
      </c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</row>
    <row r="97" spans="1:28" ht="14.25" customHeight="1" x14ac:dyDescent="0.25">
      <c r="A97" s="12" t="s">
        <v>14</v>
      </c>
      <c r="B97" s="13" t="s">
        <v>15</v>
      </c>
      <c r="C97" s="13">
        <v>2700</v>
      </c>
      <c r="D97" s="26">
        <v>600</v>
      </c>
      <c r="E97" s="12">
        <v>40</v>
      </c>
      <c r="F97" s="13">
        <f>4-1-1+7+2+10-7-1+5-3-2+5+14-1+3-3+5-1+11</f>
        <v>46</v>
      </c>
      <c r="G97" s="12">
        <f t="shared" si="0"/>
        <v>2.9808000000000003</v>
      </c>
      <c r="H97" s="35">
        <v>310000</v>
      </c>
      <c r="I97" s="16">
        <f t="shared" si="1"/>
        <v>12400</v>
      </c>
      <c r="J97" s="16">
        <f t="shared" si="2"/>
        <v>20088</v>
      </c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</row>
    <row r="98" spans="1:28" ht="14.25" customHeight="1" x14ac:dyDescent="0.25">
      <c r="A98" s="12" t="s">
        <v>14</v>
      </c>
      <c r="B98" s="13" t="s">
        <v>15</v>
      </c>
      <c r="C98" s="12">
        <v>2800</v>
      </c>
      <c r="D98" s="26">
        <v>600</v>
      </c>
      <c r="E98" s="12">
        <v>40</v>
      </c>
      <c r="F98" s="13">
        <f>8+1-4-1-1+13+6+2+18-18-2+8+10-1-1+6+24-2+4-1+6-1+16</f>
        <v>90</v>
      </c>
      <c r="G98" s="12">
        <f t="shared" si="0"/>
        <v>6.048</v>
      </c>
      <c r="H98" s="35">
        <v>310000</v>
      </c>
      <c r="I98" s="16">
        <f t="shared" si="1"/>
        <v>12400</v>
      </c>
      <c r="J98" s="16">
        <f t="shared" si="2"/>
        <v>20832</v>
      </c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</row>
    <row r="99" spans="1:28" ht="14.25" customHeight="1" x14ac:dyDescent="0.25">
      <c r="A99" s="12" t="s">
        <v>14</v>
      </c>
      <c r="B99" s="13" t="s">
        <v>15</v>
      </c>
      <c r="C99" s="12">
        <v>2900</v>
      </c>
      <c r="D99" s="26">
        <v>600</v>
      </c>
      <c r="E99" s="12">
        <v>40</v>
      </c>
      <c r="F99" s="13">
        <f>8+2+12-2-12-1+5-1-1+4+9+2+8-2-21-1-2+22-1</f>
        <v>28</v>
      </c>
      <c r="G99" s="12">
        <f t="shared" si="0"/>
        <v>1.9487999999999999</v>
      </c>
      <c r="H99" s="35">
        <v>310000</v>
      </c>
      <c r="I99" s="16">
        <f t="shared" si="1"/>
        <v>12400</v>
      </c>
      <c r="J99" s="16">
        <f t="shared" si="2"/>
        <v>21576</v>
      </c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</row>
    <row r="100" spans="1:28" ht="14.25" customHeight="1" x14ac:dyDescent="0.25">
      <c r="A100" s="12" t="s">
        <v>14</v>
      </c>
      <c r="B100" s="13" t="s">
        <v>15</v>
      </c>
      <c r="C100" s="13">
        <v>3000</v>
      </c>
      <c r="D100" s="26">
        <v>600</v>
      </c>
      <c r="E100" s="12">
        <v>40</v>
      </c>
      <c r="F100" s="13">
        <v>6</v>
      </c>
      <c r="G100" s="12">
        <f t="shared" si="0"/>
        <v>0.432</v>
      </c>
      <c r="H100" s="35">
        <v>350000</v>
      </c>
      <c r="I100" s="16">
        <f t="shared" si="1"/>
        <v>14000</v>
      </c>
      <c r="J100" s="16">
        <f t="shared" si="2"/>
        <v>25200</v>
      </c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</row>
    <row r="101" spans="1:28" ht="14.25" customHeight="1" x14ac:dyDescent="0.25">
      <c r="A101" s="12" t="s">
        <v>14</v>
      </c>
      <c r="B101" s="12" t="s">
        <v>19</v>
      </c>
      <c r="C101" s="12">
        <v>900</v>
      </c>
      <c r="D101" s="12">
        <v>300</v>
      </c>
      <c r="E101" s="12">
        <v>40</v>
      </c>
      <c r="F101" s="12">
        <f>2</f>
        <v>2</v>
      </c>
      <c r="G101" s="12">
        <f t="shared" si="0"/>
        <v>2.1600000000000001E-2</v>
      </c>
      <c r="H101" s="30">
        <v>240000</v>
      </c>
      <c r="I101" s="16">
        <f t="shared" si="1"/>
        <v>9600</v>
      </c>
      <c r="J101" s="16">
        <f t="shared" si="2"/>
        <v>2592</v>
      </c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</row>
    <row r="102" spans="1:28" ht="14.25" customHeight="1" x14ac:dyDescent="0.25">
      <c r="A102" s="12" t="s">
        <v>14</v>
      </c>
      <c r="B102" s="12" t="s">
        <v>20</v>
      </c>
      <c r="C102" s="12">
        <v>900</v>
      </c>
      <c r="D102" s="12">
        <v>300</v>
      </c>
      <c r="E102" s="12">
        <v>40</v>
      </c>
      <c r="F102" s="12">
        <f>68+17</f>
        <v>85</v>
      </c>
      <c r="G102" s="12">
        <f t="shared" si="0"/>
        <v>0.91800000000000004</v>
      </c>
      <c r="H102" s="30">
        <v>190000</v>
      </c>
      <c r="I102" s="16">
        <f t="shared" si="1"/>
        <v>7600</v>
      </c>
      <c r="J102" s="16">
        <f t="shared" si="2"/>
        <v>2052</v>
      </c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</row>
    <row r="103" spans="1:28" ht="14.25" customHeight="1" x14ac:dyDescent="0.25">
      <c r="A103" s="12" t="s">
        <v>14</v>
      </c>
      <c r="B103" s="12" t="s">
        <v>20</v>
      </c>
      <c r="C103" s="12">
        <v>1000</v>
      </c>
      <c r="D103" s="12">
        <v>300</v>
      </c>
      <c r="E103" s="12">
        <v>40</v>
      </c>
      <c r="F103" s="12">
        <f>3+14</f>
        <v>17</v>
      </c>
      <c r="G103" s="12">
        <f t="shared" si="0"/>
        <v>0.20399999999999999</v>
      </c>
      <c r="H103" s="30">
        <v>240000</v>
      </c>
      <c r="I103" s="16">
        <f t="shared" si="1"/>
        <v>9600</v>
      </c>
      <c r="J103" s="16">
        <f t="shared" si="2"/>
        <v>2880</v>
      </c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</row>
    <row r="104" spans="1:28" ht="14.25" customHeight="1" x14ac:dyDescent="0.25">
      <c r="A104" s="12" t="s">
        <v>14</v>
      </c>
      <c r="B104" s="12" t="s">
        <v>20</v>
      </c>
      <c r="C104" s="12">
        <v>1200</v>
      </c>
      <c r="D104" s="12">
        <v>300</v>
      </c>
      <c r="E104" s="12">
        <v>40</v>
      </c>
      <c r="F104" s="12">
        <f>18</f>
        <v>18</v>
      </c>
      <c r="G104" s="12">
        <f t="shared" si="0"/>
        <v>0.25919999999999999</v>
      </c>
      <c r="H104" s="30">
        <v>240000</v>
      </c>
      <c r="I104" s="16">
        <f t="shared" si="1"/>
        <v>9600</v>
      </c>
      <c r="J104" s="16">
        <f t="shared" si="2"/>
        <v>3456</v>
      </c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</row>
    <row r="105" spans="1:28" ht="14.25" customHeight="1" x14ac:dyDescent="0.25">
      <c r="A105" s="12" t="s">
        <v>14</v>
      </c>
      <c r="B105" s="12" t="s">
        <v>20</v>
      </c>
      <c r="C105" s="12">
        <v>1300</v>
      </c>
      <c r="D105" s="12">
        <v>600</v>
      </c>
      <c r="E105" s="12">
        <v>40</v>
      </c>
      <c r="F105" s="12">
        <f>4</f>
        <v>4</v>
      </c>
      <c r="G105" s="12">
        <f t="shared" si="0"/>
        <v>0.12479999999999999</v>
      </c>
      <c r="H105" s="30">
        <v>245000</v>
      </c>
      <c r="I105" s="16">
        <f t="shared" si="1"/>
        <v>9800</v>
      </c>
      <c r="J105" s="16">
        <f t="shared" si="2"/>
        <v>7644</v>
      </c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</row>
    <row r="106" spans="1:28" ht="14.25" customHeight="1" x14ac:dyDescent="0.25">
      <c r="A106" s="12" t="s">
        <v>14</v>
      </c>
      <c r="B106" s="12" t="s">
        <v>20</v>
      </c>
      <c r="C106" s="12">
        <v>1400</v>
      </c>
      <c r="D106" s="12">
        <v>600</v>
      </c>
      <c r="E106" s="12">
        <v>40</v>
      </c>
      <c r="F106" s="13">
        <f>5</f>
        <v>5</v>
      </c>
      <c r="G106" s="12">
        <f t="shared" si="0"/>
        <v>0.16800000000000001</v>
      </c>
      <c r="H106" s="30">
        <v>245000</v>
      </c>
      <c r="I106" s="16">
        <f t="shared" si="1"/>
        <v>9800</v>
      </c>
      <c r="J106" s="16">
        <f t="shared" si="2"/>
        <v>8232</v>
      </c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</row>
    <row r="107" spans="1:28" ht="14.25" customHeight="1" x14ac:dyDescent="0.25">
      <c r="A107" s="12" t="s">
        <v>14</v>
      </c>
      <c r="B107" s="12" t="s">
        <v>20</v>
      </c>
      <c r="C107" s="12">
        <v>1500</v>
      </c>
      <c r="D107" s="12">
        <v>600</v>
      </c>
      <c r="E107" s="12">
        <v>40</v>
      </c>
      <c r="F107" s="13">
        <f>5+8-2+1-2-4-1-3-1+3-1-2+3</f>
        <v>4</v>
      </c>
      <c r="G107" s="12">
        <f t="shared" si="0"/>
        <v>0.14399999999999999</v>
      </c>
      <c r="H107" s="30">
        <v>245000</v>
      </c>
      <c r="I107" s="16">
        <f t="shared" si="1"/>
        <v>9800</v>
      </c>
      <c r="J107" s="16">
        <f t="shared" si="2"/>
        <v>8820</v>
      </c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</row>
    <row r="108" spans="1:28" ht="14.25" customHeight="1" x14ac:dyDescent="0.25">
      <c r="A108" s="12" t="s">
        <v>14</v>
      </c>
      <c r="B108" s="12" t="s">
        <v>20</v>
      </c>
      <c r="C108" s="12">
        <v>1600</v>
      </c>
      <c r="D108" s="12">
        <v>600</v>
      </c>
      <c r="E108" s="12">
        <v>40</v>
      </c>
      <c r="F108" s="13">
        <f>7-4+10-2+7-5-1+1+2-2-1-1+2-1-1-2-1-1-5+5-1</f>
        <v>6</v>
      </c>
      <c r="G108" s="12">
        <f t="shared" si="0"/>
        <v>0.23039999999999999</v>
      </c>
      <c r="H108" s="30">
        <v>245000</v>
      </c>
      <c r="I108" s="16">
        <f t="shared" si="1"/>
        <v>9800</v>
      </c>
      <c r="J108" s="16">
        <f t="shared" si="2"/>
        <v>9408</v>
      </c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</row>
    <row r="109" spans="1:28" ht="14.25" customHeight="1" x14ac:dyDescent="0.25">
      <c r="A109" s="12" t="s">
        <v>14</v>
      </c>
      <c r="B109" s="12" t="s">
        <v>20</v>
      </c>
      <c r="C109" s="13">
        <v>1700</v>
      </c>
      <c r="D109" s="12">
        <v>600</v>
      </c>
      <c r="E109" s="12">
        <v>40</v>
      </c>
      <c r="F109" s="13">
        <v>1</v>
      </c>
      <c r="G109" s="12">
        <f t="shared" si="0"/>
        <v>4.0799999999999996E-2</v>
      </c>
      <c r="H109" s="30">
        <v>245000</v>
      </c>
      <c r="I109" s="16">
        <f t="shared" si="1"/>
        <v>9800</v>
      </c>
      <c r="J109" s="16">
        <f t="shared" si="2"/>
        <v>9996</v>
      </c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</row>
    <row r="110" spans="1:28" ht="14.25" customHeight="1" x14ac:dyDescent="0.25">
      <c r="A110" s="12" t="s">
        <v>14</v>
      </c>
      <c r="B110" s="12" t="s">
        <v>20</v>
      </c>
      <c r="C110" s="12">
        <v>1800</v>
      </c>
      <c r="D110" s="12">
        <v>600</v>
      </c>
      <c r="E110" s="12">
        <v>40</v>
      </c>
      <c r="F110" s="13">
        <f>4+4-2+6-1+4+3-2-4-1-3+4+3-4-5</f>
        <v>6</v>
      </c>
      <c r="G110" s="12">
        <f t="shared" si="0"/>
        <v>0.25919999999999999</v>
      </c>
      <c r="H110" s="30">
        <v>260000</v>
      </c>
      <c r="I110" s="16">
        <f t="shared" si="1"/>
        <v>10400</v>
      </c>
      <c r="J110" s="16">
        <f t="shared" si="2"/>
        <v>11232</v>
      </c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</row>
    <row r="111" spans="1:28" ht="14.25" customHeight="1" x14ac:dyDescent="0.25">
      <c r="A111" s="37" t="s">
        <v>14</v>
      </c>
      <c r="B111" s="46" t="s">
        <v>17</v>
      </c>
      <c r="C111" s="38">
        <v>900</v>
      </c>
      <c r="D111" s="38">
        <v>300</v>
      </c>
      <c r="E111" s="38">
        <v>40</v>
      </c>
      <c r="F111" s="38">
        <f>25-2</f>
        <v>23</v>
      </c>
      <c r="G111" s="12">
        <f t="shared" si="0"/>
        <v>0.24840000000000001</v>
      </c>
      <c r="H111" s="35">
        <v>162000</v>
      </c>
      <c r="I111" s="16">
        <f t="shared" si="1"/>
        <v>6480</v>
      </c>
      <c r="J111" s="16">
        <f t="shared" si="2"/>
        <v>1749.6</v>
      </c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</row>
    <row r="112" spans="1:28" ht="14.25" customHeight="1" x14ac:dyDescent="0.25">
      <c r="A112" s="39" t="s">
        <v>14</v>
      </c>
      <c r="B112" s="47" t="s">
        <v>17</v>
      </c>
      <c r="C112" s="28">
        <v>1000</v>
      </c>
      <c r="D112" s="28">
        <v>300</v>
      </c>
      <c r="E112" s="28">
        <v>40</v>
      </c>
      <c r="F112" s="28">
        <f>43-1-1</f>
        <v>41</v>
      </c>
      <c r="G112" s="12">
        <f t="shared" si="0"/>
        <v>0.49199999999999999</v>
      </c>
      <c r="H112" s="35">
        <v>212500</v>
      </c>
      <c r="I112" s="16">
        <f t="shared" si="1"/>
        <v>8500</v>
      </c>
      <c r="J112" s="16">
        <f t="shared" si="2"/>
        <v>2550</v>
      </c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</row>
    <row r="113" spans="1:28" ht="14.25" customHeight="1" x14ac:dyDescent="0.25">
      <c r="A113" s="39" t="s">
        <v>14</v>
      </c>
      <c r="B113" s="47" t="s">
        <v>17</v>
      </c>
      <c r="C113" s="28">
        <v>1100</v>
      </c>
      <c r="D113" s="28">
        <v>300</v>
      </c>
      <c r="E113" s="28">
        <v>40</v>
      </c>
      <c r="F113" s="28">
        <v>19</v>
      </c>
      <c r="G113" s="12">
        <f t="shared" si="0"/>
        <v>0.25080000000000002</v>
      </c>
      <c r="H113" s="35">
        <v>212500</v>
      </c>
      <c r="I113" s="16">
        <f t="shared" si="1"/>
        <v>8500</v>
      </c>
      <c r="J113" s="16">
        <f t="shared" si="2"/>
        <v>2805</v>
      </c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</row>
    <row r="114" spans="1:28" ht="14.25" customHeight="1" x14ac:dyDescent="0.25">
      <c r="A114" s="39" t="s">
        <v>14</v>
      </c>
      <c r="B114" s="47" t="s">
        <v>17</v>
      </c>
      <c r="C114" s="28">
        <v>1200</v>
      </c>
      <c r="D114" s="28">
        <v>300</v>
      </c>
      <c r="E114" s="28">
        <v>40</v>
      </c>
      <c r="F114" s="28">
        <v>15</v>
      </c>
      <c r="G114" s="12">
        <f t="shared" si="0"/>
        <v>0.216</v>
      </c>
      <c r="H114" s="35">
        <v>212500</v>
      </c>
      <c r="I114" s="16">
        <f t="shared" si="1"/>
        <v>8500</v>
      </c>
      <c r="J114" s="16">
        <f t="shared" si="2"/>
        <v>3060</v>
      </c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</row>
    <row r="115" spans="1:28" ht="14.25" customHeight="1" x14ac:dyDescent="0.25">
      <c r="A115" s="39" t="s">
        <v>14</v>
      </c>
      <c r="B115" s="47" t="s">
        <v>17</v>
      </c>
      <c r="C115" s="28">
        <v>1300</v>
      </c>
      <c r="D115" s="28">
        <v>600</v>
      </c>
      <c r="E115" s="28">
        <v>40</v>
      </c>
      <c r="F115" s="28">
        <v>4</v>
      </c>
      <c r="G115" s="12">
        <f t="shared" si="0"/>
        <v>0.12479999999999999</v>
      </c>
      <c r="H115" s="35">
        <v>212500</v>
      </c>
      <c r="I115" s="16">
        <f t="shared" si="1"/>
        <v>8500</v>
      </c>
      <c r="J115" s="16">
        <f t="shared" si="2"/>
        <v>6630</v>
      </c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</row>
    <row r="116" spans="1:28" ht="14.25" customHeight="1" x14ac:dyDescent="0.25">
      <c r="A116" s="39" t="s">
        <v>14</v>
      </c>
      <c r="B116" s="47" t="s">
        <v>17</v>
      </c>
      <c r="C116" s="28">
        <v>1400</v>
      </c>
      <c r="D116" s="28">
        <v>600</v>
      </c>
      <c r="E116" s="28">
        <v>40</v>
      </c>
      <c r="F116" s="28">
        <v>4</v>
      </c>
      <c r="G116" s="12">
        <f t="shared" si="0"/>
        <v>0.13440000000000002</v>
      </c>
      <c r="H116" s="35">
        <v>212500</v>
      </c>
      <c r="I116" s="16">
        <f t="shared" si="1"/>
        <v>8500</v>
      </c>
      <c r="J116" s="16">
        <f t="shared" si="2"/>
        <v>7140</v>
      </c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</row>
    <row r="117" spans="1:28" ht="14.25" customHeight="1" x14ac:dyDescent="0.25">
      <c r="A117" s="39" t="s">
        <v>14</v>
      </c>
      <c r="B117" s="47" t="s">
        <v>17</v>
      </c>
      <c r="C117" s="28">
        <v>1500</v>
      </c>
      <c r="D117" s="28">
        <v>600</v>
      </c>
      <c r="E117" s="28">
        <v>40</v>
      </c>
      <c r="F117" s="28">
        <v>2</v>
      </c>
      <c r="G117" s="12">
        <f t="shared" si="0"/>
        <v>7.1999999999999995E-2</v>
      </c>
      <c r="H117" s="35">
        <v>212500</v>
      </c>
      <c r="I117" s="16">
        <f t="shared" si="1"/>
        <v>8500</v>
      </c>
      <c r="J117" s="16">
        <f t="shared" si="2"/>
        <v>7650</v>
      </c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</row>
    <row r="118" spans="1:28" ht="14.25" customHeight="1" x14ac:dyDescent="0.25">
      <c r="A118" s="39" t="s">
        <v>14</v>
      </c>
      <c r="B118" s="47" t="s">
        <v>17</v>
      </c>
      <c r="C118" s="28">
        <v>1600</v>
      </c>
      <c r="D118" s="28">
        <v>600</v>
      </c>
      <c r="E118" s="28">
        <v>40</v>
      </c>
      <c r="F118" s="28">
        <v>1</v>
      </c>
      <c r="G118" s="12">
        <f t="shared" si="0"/>
        <v>3.8399999999999997E-2</v>
      </c>
      <c r="H118" s="35">
        <v>229500</v>
      </c>
      <c r="I118" s="16">
        <f t="shared" si="1"/>
        <v>9180</v>
      </c>
      <c r="J118" s="16">
        <f t="shared" si="2"/>
        <v>8812.7999999999993</v>
      </c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</row>
    <row r="119" spans="1:28" ht="14.25" customHeight="1" x14ac:dyDescent="0.25">
      <c r="A119" s="12" t="s">
        <v>14</v>
      </c>
      <c r="B119" s="48" t="s">
        <v>21</v>
      </c>
      <c r="C119" s="13">
        <v>900</v>
      </c>
      <c r="D119" s="26">
        <v>600</v>
      </c>
      <c r="E119" s="12">
        <v>40</v>
      </c>
      <c r="F119" s="13">
        <v>2</v>
      </c>
      <c r="G119" s="12">
        <f t="shared" si="0"/>
        <v>4.3200000000000002E-2</v>
      </c>
      <c r="H119" s="35">
        <v>190000</v>
      </c>
      <c r="I119" s="16">
        <f t="shared" si="1"/>
        <v>7600</v>
      </c>
      <c r="J119" s="16">
        <f t="shared" si="2"/>
        <v>4104</v>
      </c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</row>
    <row r="120" spans="1:28" ht="14.25" customHeight="1" x14ac:dyDescent="0.25">
      <c r="A120" s="12" t="s">
        <v>14</v>
      </c>
      <c r="B120" s="48" t="s">
        <v>21</v>
      </c>
      <c r="C120" s="13">
        <v>1100</v>
      </c>
      <c r="D120" s="26">
        <v>600</v>
      </c>
      <c r="E120" s="12">
        <v>40</v>
      </c>
      <c r="F120" s="13">
        <f>2-1</f>
        <v>1</v>
      </c>
      <c r="G120" s="12">
        <f t="shared" si="0"/>
        <v>2.64E-2</v>
      </c>
      <c r="H120" s="35">
        <v>195000</v>
      </c>
      <c r="I120" s="16">
        <f t="shared" si="1"/>
        <v>7800</v>
      </c>
      <c r="J120" s="16">
        <f t="shared" si="2"/>
        <v>5148</v>
      </c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</row>
    <row r="121" spans="1:28" ht="14.25" customHeight="1" x14ac:dyDescent="0.25">
      <c r="A121" s="12" t="s">
        <v>14</v>
      </c>
      <c r="B121" s="13" t="s">
        <v>22</v>
      </c>
      <c r="C121" s="13">
        <v>3000</v>
      </c>
      <c r="D121" s="24">
        <v>350</v>
      </c>
      <c r="E121" s="13">
        <v>20</v>
      </c>
      <c r="F121" s="13">
        <v>1</v>
      </c>
      <c r="G121" s="12">
        <f t="shared" si="0"/>
        <v>2.1000000000000001E-2</v>
      </c>
      <c r="H121" s="35">
        <v>170000</v>
      </c>
      <c r="I121" s="16">
        <f t="shared" si="1"/>
        <v>3400</v>
      </c>
      <c r="J121" s="16">
        <f t="shared" si="2"/>
        <v>3570</v>
      </c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</row>
    <row r="122" spans="1:28" ht="14.25" customHeight="1" x14ac:dyDescent="0.25">
      <c r="A122" s="12" t="s">
        <v>14</v>
      </c>
      <c r="B122" s="13" t="s">
        <v>22</v>
      </c>
      <c r="C122" s="13">
        <v>3000</v>
      </c>
      <c r="D122" s="24">
        <v>400</v>
      </c>
      <c r="E122" s="13">
        <v>20</v>
      </c>
      <c r="F122" s="13">
        <f>148-4-6-3-14-3-2-4-1-1-1-1-1-1-2-3</f>
        <v>101</v>
      </c>
      <c r="G122" s="12">
        <f t="shared" si="0"/>
        <v>2.4239999999999999</v>
      </c>
      <c r="H122" s="35">
        <v>170000</v>
      </c>
      <c r="I122" s="16">
        <f t="shared" si="1"/>
        <v>3400</v>
      </c>
      <c r="J122" s="16">
        <f t="shared" si="2"/>
        <v>4080</v>
      </c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</row>
    <row r="123" spans="1:28" ht="14.25" customHeight="1" x14ac:dyDescent="0.25">
      <c r="A123" s="12" t="s">
        <v>14</v>
      </c>
      <c r="B123" s="13" t="s">
        <v>22</v>
      </c>
      <c r="C123" s="12">
        <v>3500</v>
      </c>
      <c r="D123" s="23">
        <v>400</v>
      </c>
      <c r="E123" s="12">
        <v>20</v>
      </c>
      <c r="F123" s="12">
        <f>35-2-10-3-1+91-5-7-1-3-1</f>
        <v>93</v>
      </c>
      <c r="G123" s="12">
        <f t="shared" si="0"/>
        <v>2.6040000000000001</v>
      </c>
      <c r="H123" s="35">
        <v>170000</v>
      </c>
      <c r="I123" s="16">
        <f t="shared" si="1"/>
        <v>3400</v>
      </c>
      <c r="J123" s="16">
        <f t="shared" si="2"/>
        <v>4760</v>
      </c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</row>
    <row r="124" spans="1:28" ht="14.25" customHeight="1" x14ac:dyDescent="0.25">
      <c r="A124" s="22" t="s">
        <v>14</v>
      </c>
      <c r="B124" s="13" t="s">
        <v>22</v>
      </c>
      <c r="C124" s="12">
        <v>4000</v>
      </c>
      <c r="D124" s="23">
        <v>400</v>
      </c>
      <c r="E124" s="12">
        <v>20</v>
      </c>
      <c r="F124" s="12">
        <f>32-4-2-10-1+81-6-1-4-5-2-4-2-2-2-1-1-2-2-1-22-10</f>
        <v>29</v>
      </c>
      <c r="G124" s="12">
        <f t="shared" si="0"/>
        <v>0.92800000000000005</v>
      </c>
      <c r="H124" s="35">
        <v>170000</v>
      </c>
      <c r="I124" s="16">
        <f t="shared" si="1"/>
        <v>3400</v>
      </c>
      <c r="J124" s="16">
        <f t="shared" si="2"/>
        <v>5440</v>
      </c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</row>
    <row r="125" spans="1:28" ht="14.25" customHeight="1" x14ac:dyDescent="0.25">
      <c r="A125" s="22" t="s">
        <v>14</v>
      </c>
      <c r="B125" s="13" t="s">
        <v>22</v>
      </c>
      <c r="C125" s="22">
        <v>3000</v>
      </c>
      <c r="D125" s="22">
        <v>600</v>
      </c>
      <c r="E125" s="22">
        <v>20</v>
      </c>
      <c r="F125" s="22">
        <v>97</v>
      </c>
      <c r="G125" s="12">
        <f t="shared" si="0"/>
        <v>3.492</v>
      </c>
      <c r="H125" s="35">
        <v>170000</v>
      </c>
      <c r="I125" s="16">
        <f t="shared" si="1"/>
        <v>3400</v>
      </c>
      <c r="J125" s="16">
        <f t="shared" si="2"/>
        <v>6120</v>
      </c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</row>
    <row r="126" spans="1:28" ht="14.25" customHeight="1" x14ac:dyDescent="0.25">
      <c r="A126" s="22" t="s">
        <v>14</v>
      </c>
      <c r="B126" s="13" t="s">
        <v>22</v>
      </c>
      <c r="C126" s="22">
        <v>3500</v>
      </c>
      <c r="D126" s="22">
        <v>600</v>
      </c>
      <c r="E126" s="22">
        <v>20</v>
      </c>
      <c r="F126" s="20">
        <f>70-2-5-3-2-1-5-6+86-1-5-2-2-2+61-5-98-10-4-3+40-2+40-1-10-4-1-4-1+66-3+77-2-1+90-1-24-10-1-2-1-2-1-1-2-2-4</f>
        <v>294</v>
      </c>
      <c r="G126" s="12">
        <f t="shared" si="0"/>
        <v>12.348000000000001</v>
      </c>
      <c r="H126" s="35">
        <v>170000</v>
      </c>
      <c r="I126" s="16">
        <f t="shared" si="1"/>
        <v>3400</v>
      </c>
      <c r="J126" s="16">
        <f t="shared" si="2"/>
        <v>7140</v>
      </c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</row>
    <row r="127" spans="1:28" ht="14.25" customHeight="1" x14ac:dyDescent="0.25">
      <c r="A127" s="22" t="s">
        <v>14</v>
      </c>
      <c r="B127" s="13" t="s">
        <v>22</v>
      </c>
      <c r="C127" s="12">
        <v>4000</v>
      </c>
      <c r="D127" s="12">
        <v>600</v>
      </c>
      <c r="E127" s="12">
        <v>20</v>
      </c>
      <c r="F127" s="12">
        <v>83</v>
      </c>
      <c r="G127" s="12">
        <f t="shared" si="0"/>
        <v>3.984</v>
      </c>
      <c r="H127" s="35">
        <v>170000</v>
      </c>
      <c r="I127" s="16">
        <f t="shared" si="1"/>
        <v>3400</v>
      </c>
      <c r="J127" s="16">
        <f t="shared" si="2"/>
        <v>8160</v>
      </c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</row>
    <row r="128" spans="1:28" ht="14.25" customHeight="1" x14ac:dyDescent="0.25">
      <c r="A128" s="22" t="s">
        <v>14</v>
      </c>
      <c r="B128" s="13" t="s">
        <v>22</v>
      </c>
      <c r="C128" s="49">
        <v>3000</v>
      </c>
      <c r="D128" s="13">
        <v>800</v>
      </c>
      <c r="E128" s="12">
        <v>20</v>
      </c>
      <c r="F128" s="49">
        <f>36+37-1</f>
        <v>72</v>
      </c>
      <c r="G128" s="12">
        <f t="shared" si="0"/>
        <v>3.456</v>
      </c>
      <c r="H128" s="35">
        <v>170000</v>
      </c>
      <c r="I128" s="16">
        <f t="shared" si="1"/>
        <v>3400</v>
      </c>
      <c r="J128" s="16">
        <f t="shared" si="2"/>
        <v>8160</v>
      </c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</row>
    <row r="129" spans="1:28" ht="14.25" customHeight="1" x14ac:dyDescent="0.25">
      <c r="A129" s="22" t="s">
        <v>14</v>
      </c>
      <c r="B129" s="13" t="s">
        <v>22</v>
      </c>
      <c r="C129" s="49">
        <v>2500</v>
      </c>
      <c r="D129" s="13">
        <v>600</v>
      </c>
      <c r="E129" s="49">
        <v>40</v>
      </c>
      <c r="F129" s="49">
        <v>57</v>
      </c>
      <c r="G129" s="12">
        <f t="shared" si="0"/>
        <v>3.42</v>
      </c>
      <c r="H129" s="35">
        <v>170000</v>
      </c>
      <c r="I129" s="16">
        <f t="shared" si="1"/>
        <v>6800</v>
      </c>
      <c r="J129" s="16">
        <f t="shared" si="2"/>
        <v>10200</v>
      </c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</row>
    <row r="130" spans="1:28" ht="14.25" customHeight="1" x14ac:dyDescent="0.25">
      <c r="A130" s="22" t="s">
        <v>14</v>
      </c>
      <c r="B130" s="13" t="s">
        <v>22</v>
      </c>
      <c r="C130" s="26">
        <v>3000</v>
      </c>
      <c r="D130" s="12">
        <v>600</v>
      </c>
      <c r="E130" s="26">
        <v>40</v>
      </c>
      <c r="F130" s="26">
        <v>136</v>
      </c>
      <c r="G130" s="12">
        <f t="shared" si="0"/>
        <v>9.7919999999999998</v>
      </c>
      <c r="H130" s="35">
        <v>170000</v>
      </c>
      <c r="I130" s="16">
        <f t="shared" si="1"/>
        <v>6800</v>
      </c>
      <c r="J130" s="16">
        <f t="shared" si="2"/>
        <v>12240</v>
      </c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</row>
    <row r="131" spans="1:28" ht="14.25" customHeight="1" x14ac:dyDescent="0.25">
      <c r="A131" s="22" t="s">
        <v>14</v>
      </c>
      <c r="B131" s="13" t="s">
        <v>22</v>
      </c>
      <c r="C131" s="50">
        <v>3500</v>
      </c>
      <c r="D131" s="12">
        <v>600</v>
      </c>
      <c r="E131" s="26">
        <v>40</v>
      </c>
      <c r="F131" s="50">
        <v>106</v>
      </c>
      <c r="G131" s="12">
        <f t="shared" si="0"/>
        <v>8.9039999999999999</v>
      </c>
      <c r="H131" s="35">
        <v>170000</v>
      </c>
      <c r="I131" s="16">
        <f t="shared" si="1"/>
        <v>6800</v>
      </c>
      <c r="J131" s="16">
        <f t="shared" si="2"/>
        <v>14280</v>
      </c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</row>
    <row r="132" spans="1:28" ht="14.25" customHeight="1" x14ac:dyDescent="0.25">
      <c r="A132" s="51" t="s">
        <v>14</v>
      </c>
      <c r="B132" s="13" t="s">
        <v>22</v>
      </c>
      <c r="C132" s="50">
        <v>4000</v>
      </c>
      <c r="D132" s="12">
        <v>600</v>
      </c>
      <c r="E132" s="26">
        <v>40</v>
      </c>
      <c r="F132" s="50">
        <f>36+38-2-1-4-2-1-1-1-1+39-1-2-2+22-5-1-2-5+39-4-1-1-4-1-5-1-3+20-1-3+20-6-2-2-1</f>
        <v>148</v>
      </c>
      <c r="G132" s="12">
        <f t="shared" si="0"/>
        <v>14.208</v>
      </c>
      <c r="H132" s="35">
        <v>170000</v>
      </c>
      <c r="I132" s="16">
        <f t="shared" si="1"/>
        <v>6800</v>
      </c>
      <c r="J132" s="16">
        <f t="shared" si="2"/>
        <v>16320</v>
      </c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</row>
    <row r="133" spans="1:28" ht="14.25" customHeight="1" x14ac:dyDescent="0.25">
      <c r="A133" s="51" t="s">
        <v>14</v>
      </c>
      <c r="B133" s="13" t="s">
        <v>22</v>
      </c>
      <c r="C133" s="28">
        <v>2500</v>
      </c>
      <c r="D133" s="52">
        <v>800</v>
      </c>
      <c r="E133" s="49">
        <v>40</v>
      </c>
      <c r="F133" s="28">
        <f>29-1-1-1-1-1+16-1</f>
        <v>39</v>
      </c>
      <c r="G133" s="12">
        <f t="shared" si="0"/>
        <v>3.12</v>
      </c>
      <c r="H133" s="35">
        <v>170000</v>
      </c>
      <c r="I133" s="16">
        <f t="shared" si="1"/>
        <v>6800</v>
      </c>
      <c r="J133" s="16">
        <f t="shared" si="2"/>
        <v>13600</v>
      </c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</row>
    <row r="134" spans="1:28" ht="14.25" customHeight="1" x14ac:dyDescent="0.25">
      <c r="A134" s="51" t="s">
        <v>14</v>
      </c>
      <c r="B134" s="13" t="s">
        <v>22</v>
      </c>
      <c r="C134" s="28">
        <v>3000</v>
      </c>
      <c r="D134" s="52">
        <v>800</v>
      </c>
      <c r="E134" s="26">
        <v>40</v>
      </c>
      <c r="F134" s="28">
        <f>31-4-2-1+15-1</f>
        <v>38</v>
      </c>
      <c r="G134" s="12">
        <f t="shared" si="0"/>
        <v>3.6480000000000001</v>
      </c>
      <c r="H134" s="35">
        <v>170000</v>
      </c>
      <c r="I134" s="16">
        <f t="shared" si="1"/>
        <v>6800</v>
      </c>
      <c r="J134" s="16">
        <f t="shared" si="2"/>
        <v>16320</v>
      </c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</row>
    <row r="135" spans="1:28" ht="14.25" customHeight="1" x14ac:dyDescent="0.25">
      <c r="A135" s="51" t="s">
        <v>14</v>
      </c>
      <c r="B135" s="13" t="s">
        <v>22</v>
      </c>
      <c r="C135" s="39">
        <v>3500</v>
      </c>
      <c r="D135" s="52">
        <v>800</v>
      </c>
      <c r="E135" s="26">
        <v>40</v>
      </c>
      <c r="F135" s="39">
        <f>17-1-1+30-1-1</f>
        <v>43</v>
      </c>
      <c r="G135" s="12">
        <f t="shared" si="0"/>
        <v>4.8159999999999998</v>
      </c>
      <c r="H135" s="35">
        <v>170000</v>
      </c>
      <c r="I135" s="16">
        <f t="shared" si="1"/>
        <v>6800</v>
      </c>
      <c r="J135" s="16">
        <f t="shared" si="2"/>
        <v>19040</v>
      </c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</row>
    <row r="136" spans="1:28" ht="14.25" customHeight="1" x14ac:dyDescent="0.25">
      <c r="A136" s="51" t="s">
        <v>14</v>
      </c>
      <c r="B136" s="13" t="s">
        <v>22</v>
      </c>
      <c r="C136" s="39">
        <v>4000</v>
      </c>
      <c r="D136" s="52">
        <v>800</v>
      </c>
      <c r="E136" s="26">
        <v>40</v>
      </c>
      <c r="F136" s="39">
        <f>15-4-1-2-3-2-2+14</f>
        <v>15</v>
      </c>
      <c r="G136" s="12">
        <f t="shared" si="0"/>
        <v>1.92</v>
      </c>
      <c r="H136" s="35">
        <v>170000</v>
      </c>
      <c r="I136" s="16">
        <f t="shared" si="1"/>
        <v>6800</v>
      </c>
      <c r="J136" s="16">
        <f t="shared" si="2"/>
        <v>21760</v>
      </c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</row>
    <row r="137" spans="1:28" ht="14.25" customHeight="1" x14ac:dyDescent="0.25">
      <c r="A137" s="51" t="s">
        <v>14</v>
      </c>
      <c r="B137" s="13" t="s">
        <v>22</v>
      </c>
      <c r="C137" s="39">
        <v>2500</v>
      </c>
      <c r="D137" s="52">
        <v>1000</v>
      </c>
      <c r="E137" s="49">
        <v>40</v>
      </c>
      <c r="F137" s="39">
        <f>13+11</f>
        <v>24</v>
      </c>
      <c r="G137" s="12">
        <f t="shared" si="0"/>
        <v>2.4</v>
      </c>
      <c r="H137" s="35">
        <v>170000</v>
      </c>
      <c r="I137" s="16">
        <f t="shared" si="1"/>
        <v>6800</v>
      </c>
      <c r="J137" s="16">
        <f t="shared" si="2"/>
        <v>17000</v>
      </c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</row>
    <row r="138" spans="1:28" ht="14.25" customHeight="1" x14ac:dyDescent="0.25">
      <c r="A138" s="51" t="s">
        <v>14</v>
      </c>
      <c r="B138" s="13" t="s">
        <v>22</v>
      </c>
      <c r="C138" s="24">
        <v>3000</v>
      </c>
      <c r="D138" s="24">
        <v>1000</v>
      </c>
      <c r="E138" s="49">
        <v>40</v>
      </c>
      <c r="F138" s="24">
        <f>15+10</f>
        <v>25</v>
      </c>
      <c r="G138" s="12">
        <f t="shared" si="0"/>
        <v>3</v>
      </c>
      <c r="H138" s="35">
        <v>170000</v>
      </c>
      <c r="I138" s="16">
        <f t="shared" si="1"/>
        <v>6800</v>
      </c>
      <c r="J138" s="16">
        <f t="shared" si="2"/>
        <v>20400</v>
      </c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</row>
    <row r="139" spans="1:28" ht="14.25" customHeight="1" x14ac:dyDescent="0.25">
      <c r="A139" s="51" t="s">
        <v>14</v>
      </c>
      <c r="B139" s="13" t="s">
        <v>22</v>
      </c>
      <c r="C139" s="24">
        <v>3500</v>
      </c>
      <c r="D139" s="24">
        <v>1000</v>
      </c>
      <c r="E139" s="49">
        <v>40</v>
      </c>
      <c r="F139" s="24">
        <f>15+11</f>
        <v>26</v>
      </c>
      <c r="G139" s="12">
        <f t="shared" si="0"/>
        <v>3.64</v>
      </c>
      <c r="H139" s="35">
        <v>170000</v>
      </c>
      <c r="I139" s="16">
        <f t="shared" si="1"/>
        <v>6800</v>
      </c>
      <c r="J139" s="16">
        <f t="shared" si="2"/>
        <v>23800</v>
      </c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</row>
    <row r="140" spans="1:28" ht="14.25" customHeight="1" x14ac:dyDescent="0.25">
      <c r="A140" s="22" t="s">
        <v>14</v>
      </c>
      <c r="B140" s="13" t="s">
        <v>23</v>
      </c>
      <c r="C140" s="49">
        <v>2500</v>
      </c>
      <c r="D140" s="13">
        <v>600</v>
      </c>
      <c r="E140" s="49">
        <v>40</v>
      </c>
      <c r="F140" s="49">
        <v>50</v>
      </c>
      <c r="G140" s="12">
        <f t="shared" si="0"/>
        <v>3</v>
      </c>
      <c r="H140" s="35">
        <v>160000</v>
      </c>
      <c r="I140" s="16">
        <f t="shared" si="1"/>
        <v>6400</v>
      </c>
      <c r="J140" s="16">
        <f t="shared" si="2"/>
        <v>9600</v>
      </c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</row>
    <row r="141" spans="1:28" ht="14.25" customHeight="1" x14ac:dyDescent="0.25">
      <c r="A141" s="51" t="s">
        <v>14</v>
      </c>
      <c r="B141" s="13" t="s">
        <v>23</v>
      </c>
      <c r="C141" s="50">
        <v>3000</v>
      </c>
      <c r="D141" s="50">
        <v>600</v>
      </c>
      <c r="E141" s="50">
        <v>40</v>
      </c>
      <c r="F141" s="50">
        <f>24-1-2-1+74-1-1-1-1+16-1+19-1-2-1-1-1-1-1-1-1-1-1</f>
        <v>112</v>
      </c>
      <c r="G141" s="12">
        <f t="shared" si="0"/>
        <v>8.0640000000000001</v>
      </c>
      <c r="H141" s="35">
        <v>160000</v>
      </c>
      <c r="I141" s="16">
        <f t="shared" si="1"/>
        <v>6400</v>
      </c>
      <c r="J141" s="16">
        <f t="shared" si="2"/>
        <v>11520</v>
      </c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</row>
    <row r="142" spans="1:28" ht="14.25" customHeight="1" x14ac:dyDescent="0.25">
      <c r="A142" s="51" t="s">
        <v>14</v>
      </c>
      <c r="B142" s="13" t="s">
        <v>23</v>
      </c>
      <c r="C142" s="50">
        <v>3000</v>
      </c>
      <c r="D142" s="50">
        <v>800</v>
      </c>
      <c r="E142" s="50">
        <v>40</v>
      </c>
      <c r="F142" s="50">
        <f>30-1</f>
        <v>29</v>
      </c>
      <c r="G142" s="12">
        <f t="shared" si="0"/>
        <v>2.7839999999999998</v>
      </c>
      <c r="H142" s="35">
        <v>160000</v>
      </c>
      <c r="I142" s="16">
        <f t="shared" si="1"/>
        <v>6400</v>
      </c>
      <c r="J142" s="16">
        <f t="shared" si="2"/>
        <v>15360</v>
      </c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</row>
    <row r="143" spans="1:28" ht="14.25" customHeight="1" x14ac:dyDescent="0.25">
      <c r="A143" s="51" t="s">
        <v>14</v>
      </c>
      <c r="B143" s="13" t="s">
        <v>24</v>
      </c>
      <c r="C143" s="50">
        <v>3000</v>
      </c>
      <c r="D143" s="50">
        <v>600</v>
      </c>
      <c r="E143" s="50">
        <v>20</v>
      </c>
      <c r="F143" s="50">
        <f>16-4+5</f>
        <v>17</v>
      </c>
      <c r="G143" s="12">
        <f t="shared" si="0"/>
        <v>0.61199999999999999</v>
      </c>
      <c r="H143" s="35">
        <v>160000</v>
      </c>
      <c r="I143" s="16">
        <f t="shared" si="1"/>
        <v>3200</v>
      </c>
      <c r="J143" s="16">
        <f t="shared" si="2"/>
        <v>5760</v>
      </c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</row>
    <row r="144" spans="1:28" ht="14.25" customHeight="1" x14ac:dyDescent="0.25">
      <c r="A144" s="51" t="s">
        <v>14</v>
      </c>
      <c r="B144" s="13" t="s">
        <v>25</v>
      </c>
      <c r="C144" s="50">
        <v>3000</v>
      </c>
      <c r="D144" s="50">
        <v>300</v>
      </c>
      <c r="E144" s="50">
        <v>50</v>
      </c>
      <c r="F144" s="50">
        <f>60+35-2-1-2</f>
        <v>90</v>
      </c>
      <c r="G144" s="12">
        <f t="shared" si="0"/>
        <v>4.05</v>
      </c>
      <c r="H144" s="35">
        <v>180000</v>
      </c>
      <c r="I144" s="16">
        <f t="shared" si="1"/>
        <v>9000</v>
      </c>
      <c r="J144" s="16">
        <f t="shared" si="2"/>
        <v>8100</v>
      </c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</row>
    <row r="145" spans="1:28" ht="14.25" customHeight="1" x14ac:dyDescent="0.25">
      <c r="A145" s="51" t="s">
        <v>14</v>
      </c>
      <c r="B145" s="13" t="s">
        <v>25</v>
      </c>
      <c r="C145" s="50">
        <v>3500</v>
      </c>
      <c r="D145" s="50">
        <v>300</v>
      </c>
      <c r="E145" s="50">
        <v>50</v>
      </c>
      <c r="F145" s="50">
        <v>68</v>
      </c>
      <c r="G145" s="12">
        <f t="shared" si="0"/>
        <v>3.57</v>
      </c>
      <c r="H145" s="35">
        <v>180000</v>
      </c>
      <c r="I145" s="16">
        <f t="shared" si="1"/>
        <v>9000</v>
      </c>
      <c r="J145" s="16">
        <f t="shared" si="2"/>
        <v>9450</v>
      </c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</row>
    <row r="146" spans="1:28" ht="14.25" customHeight="1" x14ac:dyDescent="0.25">
      <c r="A146" s="51" t="s">
        <v>14</v>
      </c>
      <c r="B146" s="13" t="s">
        <v>25</v>
      </c>
      <c r="C146" s="50">
        <v>4000</v>
      </c>
      <c r="D146" s="50">
        <v>300</v>
      </c>
      <c r="E146" s="50">
        <v>50</v>
      </c>
      <c r="F146" s="50">
        <f>55-2-1-1-3-2</f>
        <v>46</v>
      </c>
      <c r="G146" s="12">
        <f t="shared" si="0"/>
        <v>2.76</v>
      </c>
      <c r="H146" s="35">
        <v>180000</v>
      </c>
      <c r="I146" s="16">
        <f t="shared" si="1"/>
        <v>9000</v>
      </c>
      <c r="J146" s="16">
        <f t="shared" si="2"/>
        <v>10800</v>
      </c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</row>
    <row r="147" spans="1:28" ht="14.25" customHeight="1" x14ac:dyDescent="0.25">
      <c r="A147" s="53" t="s">
        <v>14</v>
      </c>
      <c r="B147" s="54" t="s">
        <v>26</v>
      </c>
      <c r="C147" s="50">
        <v>2500</v>
      </c>
      <c r="D147" s="50">
        <v>600</v>
      </c>
      <c r="E147" s="50">
        <v>20</v>
      </c>
      <c r="F147" s="50">
        <f>44-4-1-1-3-1-1-7-16-3-1</f>
        <v>6</v>
      </c>
      <c r="G147" s="12">
        <f t="shared" si="0"/>
        <v>0.18</v>
      </c>
      <c r="H147" s="35">
        <v>130000</v>
      </c>
      <c r="I147" s="16">
        <f t="shared" si="1"/>
        <v>2600</v>
      </c>
      <c r="J147" s="16">
        <f t="shared" si="2"/>
        <v>3900</v>
      </c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</row>
    <row r="148" spans="1:28" ht="14.25" customHeight="1" x14ac:dyDescent="0.25">
      <c r="A148" s="53" t="s">
        <v>14</v>
      </c>
      <c r="B148" s="54" t="s">
        <v>26</v>
      </c>
      <c r="C148" s="56">
        <v>3500</v>
      </c>
      <c r="D148" s="55">
        <v>600</v>
      </c>
      <c r="E148" s="55">
        <v>20</v>
      </c>
      <c r="F148" s="56">
        <f>69-1-8-2-2-1</f>
        <v>55</v>
      </c>
      <c r="G148" s="12">
        <f t="shared" si="0"/>
        <v>2.31</v>
      </c>
      <c r="H148" s="35">
        <v>130000</v>
      </c>
      <c r="I148" s="16">
        <f t="shared" si="1"/>
        <v>2600</v>
      </c>
      <c r="J148" s="16">
        <f t="shared" si="2"/>
        <v>5460</v>
      </c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</row>
    <row r="149" spans="1:28" ht="14.25" customHeight="1" x14ac:dyDescent="0.25">
      <c r="A149" s="53" t="s">
        <v>14</v>
      </c>
      <c r="B149" s="54" t="s">
        <v>26</v>
      </c>
      <c r="C149" s="56">
        <v>2500</v>
      </c>
      <c r="D149" s="56">
        <v>600</v>
      </c>
      <c r="E149" s="56">
        <v>40</v>
      </c>
      <c r="F149" s="56">
        <f>60-11-2-1-3-2-1-1-1-1+60-2-3-1-3-2-1-1-18-1-1-3-3-3</f>
        <v>55</v>
      </c>
      <c r="G149" s="12">
        <f t="shared" si="0"/>
        <v>3.3</v>
      </c>
      <c r="H149" s="35">
        <v>130000</v>
      </c>
      <c r="I149" s="16">
        <f t="shared" si="1"/>
        <v>5200</v>
      </c>
      <c r="J149" s="16">
        <f t="shared" si="2"/>
        <v>7800</v>
      </c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</row>
    <row r="150" spans="1:28" ht="14.25" customHeight="1" x14ac:dyDescent="0.25">
      <c r="A150" s="53" t="s">
        <v>14</v>
      </c>
      <c r="B150" s="54" t="s">
        <v>26</v>
      </c>
      <c r="C150" s="56">
        <v>3000</v>
      </c>
      <c r="D150" s="56">
        <v>500</v>
      </c>
      <c r="E150" s="56">
        <v>40</v>
      </c>
      <c r="F150" s="56">
        <v>1</v>
      </c>
      <c r="G150" s="12">
        <f t="shared" si="0"/>
        <v>0.06</v>
      </c>
      <c r="H150" s="35">
        <v>130000</v>
      </c>
      <c r="I150" s="16">
        <f t="shared" si="1"/>
        <v>5200</v>
      </c>
      <c r="J150" s="16">
        <f t="shared" si="2"/>
        <v>7800</v>
      </c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</row>
    <row r="151" spans="1:28" ht="14.25" customHeight="1" x14ac:dyDescent="0.25">
      <c r="A151" s="60" t="s">
        <v>14</v>
      </c>
      <c r="B151" s="58" t="s">
        <v>26</v>
      </c>
      <c r="C151" s="56">
        <v>3500</v>
      </c>
      <c r="D151" s="59">
        <v>600</v>
      </c>
      <c r="E151" s="59">
        <v>40</v>
      </c>
      <c r="F151" s="59">
        <v>5</v>
      </c>
      <c r="G151" s="12">
        <f t="shared" si="0"/>
        <v>0.42</v>
      </c>
      <c r="H151" s="35">
        <v>130000</v>
      </c>
      <c r="I151" s="16">
        <f t="shared" si="1"/>
        <v>5200</v>
      </c>
      <c r="J151" s="16">
        <f t="shared" si="2"/>
        <v>10920</v>
      </c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</row>
    <row r="152" spans="1:28" ht="14.25" customHeight="1" x14ac:dyDescent="0.25">
      <c r="A152" s="60" t="s">
        <v>14</v>
      </c>
      <c r="B152" s="58" t="s">
        <v>26</v>
      </c>
      <c r="C152" s="59">
        <v>4000</v>
      </c>
      <c r="D152" s="59">
        <v>600</v>
      </c>
      <c r="E152" s="59">
        <v>40</v>
      </c>
      <c r="F152" s="59">
        <v>36</v>
      </c>
      <c r="G152" s="12">
        <f t="shared" si="0"/>
        <v>3.456</v>
      </c>
      <c r="H152" s="35">
        <v>130000</v>
      </c>
      <c r="I152" s="16">
        <f t="shared" si="1"/>
        <v>5200</v>
      </c>
      <c r="J152" s="16">
        <f t="shared" si="2"/>
        <v>12480</v>
      </c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</row>
    <row r="153" spans="1:28" ht="14.25" customHeight="1" x14ac:dyDescent="0.25">
      <c r="A153" s="60" t="s">
        <v>14</v>
      </c>
      <c r="B153" s="58" t="s">
        <v>26</v>
      </c>
      <c r="C153" s="59">
        <v>2500</v>
      </c>
      <c r="D153" s="59">
        <v>800</v>
      </c>
      <c r="E153" s="59">
        <v>40</v>
      </c>
      <c r="F153" s="59">
        <f>25-1-2-1-2-4-1-2-5-3-1-1-1+30-1-20+5-5-5+33-3-4-2-1-1-1-1-1-4-1-1-3-1-1-1-1-1</f>
        <v>10</v>
      </c>
      <c r="G153" s="12">
        <f t="shared" si="0"/>
        <v>0.8</v>
      </c>
      <c r="H153" s="35">
        <v>130000</v>
      </c>
      <c r="I153" s="16">
        <f t="shared" si="1"/>
        <v>5200</v>
      </c>
      <c r="J153" s="16">
        <f t="shared" si="2"/>
        <v>10400</v>
      </c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</row>
    <row r="154" spans="1:28" ht="14.25" customHeight="1" x14ac:dyDescent="0.25">
      <c r="A154" s="60" t="s">
        <v>14</v>
      </c>
      <c r="B154" s="58" t="s">
        <v>26</v>
      </c>
      <c r="C154" s="56">
        <v>3000</v>
      </c>
      <c r="D154" s="59">
        <v>800</v>
      </c>
      <c r="E154" s="59">
        <v>40</v>
      </c>
      <c r="F154" s="24">
        <v>27</v>
      </c>
      <c r="G154" s="12">
        <f t="shared" si="0"/>
        <v>2.5920000000000001</v>
      </c>
      <c r="H154" s="35">
        <v>130000</v>
      </c>
      <c r="I154" s="16">
        <f t="shared" si="1"/>
        <v>5200</v>
      </c>
      <c r="J154" s="16">
        <f t="shared" si="2"/>
        <v>12480</v>
      </c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</row>
    <row r="155" spans="1:28" ht="14.25" customHeight="1" x14ac:dyDescent="0.25">
      <c r="A155" s="60" t="s">
        <v>14</v>
      </c>
      <c r="B155" s="58" t="s">
        <v>26</v>
      </c>
      <c r="C155" s="56">
        <v>2500</v>
      </c>
      <c r="D155" s="24">
        <v>1000</v>
      </c>
      <c r="E155" s="56">
        <v>40</v>
      </c>
      <c r="F155" s="24">
        <f>30-1+30-1</f>
        <v>58</v>
      </c>
      <c r="G155" s="12">
        <f t="shared" si="0"/>
        <v>5.8</v>
      </c>
      <c r="H155" s="35">
        <v>133000</v>
      </c>
      <c r="I155" s="16">
        <f t="shared" si="1"/>
        <v>5320</v>
      </c>
      <c r="J155" s="16">
        <f t="shared" si="2"/>
        <v>13300</v>
      </c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</row>
    <row r="156" spans="1:28" ht="14.25" customHeight="1" x14ac:dyDescent="0.25">
      <c r="A156" s="53" t="s">
        <v>14</v>
      </c>
      <c r="B156" s="53" t="s">
        <v>26</v>
      </c>
      <c r="C156" s="61">
        <v>3000</v>
      </c>
      <c r="D156" s="12">
        <v>1000</v>
      </c>
      <c r="E156" s="53">
        <v>38</v>
      </c>
      <c r="F156" s="12">
        <f>10-7-1</f>
        <v>2</v>
      </c>
      <c r="G156" s="12">
        <f t="shared" si="0"/>
        <v>0.22800000000000001</v>
      </c>
      <c r="H156" s="35">
        <v>133000</v>
      </c>
      <c r="I156" s="16">
        <f t="shared" si="1"/>
        <v>5054</v>
      </c>
      <c r="J156" s="16">
        <f t="shared" si="2"/>
        <v>15162</v>
      </c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</row>
    <row r="157" spans="1:28" ht="14.25" customHeight="1" x14ac:dyDescent="0.25">
      <c r="A157" s="53" t="s">
        <v>14</v>
      </c>
      <c r="B157" s="53" t="s">
        <v>26</v>
      </c>
      <c r="C157" s="61">
        <v>3000</v>
      </c>
      <c r="D157" s="12">
        <v>1000</v>
      </c>
      <c r="E157" s="61">
        <v>40</v>
      </c>
      <c r="F157" s="12">
        <f>30+11-1-10-1-2-2+62-1-5-5-2-1-1-1-3-2-1-2-1-1</f>
        <v>61</v>
      </c>
      <c r="G157" s="12">
        <f t="shared" si="0"/>
        <v>7.32</v>
      </c>
      <c r="H157" s="35">
        <v>133000</v>
      </c>
      <c r="I157" s="16">
        <f t="shared" si="1"/>
        <v>5320</v>
      </c>
      <c r="J157" s="16">
        <f t="shared" si="2"/>
        <v>15960</v>
      </c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</row>
    <row r="158" spans="1:28" ht="15.75" customHeight="1" x14ac:dyDescent="0.25">
      <c r="A158" s="53" t="s">
        <v>14</v>
      </c>
      <c r="B158" s="62" t="s">
        <v>27</v>
      </c>
      <c r="C158" s="13">
        <v>3000</v>
      </c>
      <c r="D158" s="63">
        <v>600</v>
      </c>
      <c r="E158" s="13">
        <v>40</v>
      </c>
      <c r="F158" s="13">
        <f>2-1</f>
        <v>1</v>
      </c>
      <c r="G158" s="12">
        <f t="shared" si="0"/>
        <v>7.1999999999999995E-2</v>
      </c>
      <c r="H158" s="64">
        <v>120000</v>
      </c>
      <c r="I158" s="16">
        <f t="shared" si="1"/>
        <v>4800</v>
      </c>
      <c r="J158" s="16">
        <f t="shared" si="2"/>
        <v>8640</v>
      </c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spans="1:28" ht="15.75" customHeight="1" x14ac:dyDescent="0.25">
      <c r="A159" s="65"/>
      <c r="B159" s="66"/>
      <c r="C159" s="65"/>
      <c r="D159" s="66"/>
      <c r="E159" s="65"/>
      <c r="F159" s="65"/>
      <c r="G159" s="7">
        <f>SUM(G8:G158)</f>
        <v>281.91429999999997</v>
      </c>
      <c r="H159" s="67"/>
      <c r="I159" s="68"/>
      <c r="J159" s="69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spans="1:28" ht="15.75" customHeight="1" x14ac:dyDescent="0.25">
      <c r="A160" s="3"/>
      <c r="B160" s="4"/>
      <c r="C160" s="4"/>
      <c r="D160" s="4"/>
      <c r="E160" s="4"/>
      <c r="F160" s="4"/>
      <c r="G160" s="4"/>
      <c r="H160" s="4"/>
      <c r="I160" s="68"/>
      <c r="J160" s="4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 ht="15.75" customHeight="1" x14ac:dyDescent="0.25">
      <c r="A161" s="70" t="s">
        <v>2</v>
      </c>
      <c r="B161" s="6"/>
      <c r="C161" s="6"/>
      <c r="D161" s="6"/>
      <c r="E161" s="6"/>
      <c r="F161" s="6"/>
      <c r="G161" s="6"/>
      <c r="H161" s="6"/>
      <c r="I161" s="68"/>
      <c r="J161" s="6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1:28" ht="15.75" customHeight="1" x14ac:dyDescent="0.25">
      <c r="A162" s="4" t="s">
        <v>28</v>
      </c>
      <c r="B162" s="4"/>
      <c r="C162" s="4"/>
      <c r="D162" s="4"/>
      <c r="E162" s="4"/>
      <c r="F162" s="4"/>
      <c r="G162" s="4"/>
      <c r="H162" s="4"/>
      <c r="I162" s="68"/>
      <c r="J162" s="4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:28" ht="15.75" customHeight="1" x14ac:dyDescent="0.25">
      <c r="A163" s="4" t="s">
        <v>29</v>
      </c>
      <c r="B163" s="4"/>
      <c r="C163" s="4"/>
      <c r="D163" s="4"/>
      <c r="E163" s="4"/>
      <c r="F163" s="4"/>
      <c r="G163" s="4"/>
      <c r="H163" s="4"/>
      <c r="I163" s="68"/>
      <c r="J163" s="4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 ht="15.75" customHeight="1" x14ac:dyDescent="0.25">
      <c r="A164" s="4" t="s">
        <v>30</v>
      </c>
      <c r="B164" s="4"/>
      <c r="C164" s="4"/>
      <c r="D164" s="4"/>
      <c r="E164" s="4"/>
      <c r="F164" s="4"/>
      <c r="G164" s="4"/>
      <c r="H164" s="4"/>
      <c r="I164" s="68"/>
      <c r="J164" s="4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 ht="15.75" customHeight="1" x14ac:dyDescent="0.25">
      <c r="A165" s="4" t="s">
        <v>31</v>
      </c>
      <c r="B165" s="4"/>
      <c r="C165" s="4"/>
      <c r="D165" s="4"/>
      <c r="E165" s="4"/>
      <c r="F165" s="4"/>
      <c r="G165" s="4"/>
      <c r="H165" s="4"/>
      <c r="I165" s="68"/>
      <c r="J165" s="4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 ht="15.75" customHeight="1" x14ac:dyDescent="0.25">
      <c r="A166" s="4" t="s">
        <v>32</v>
      </c>
      <c r="B166" s="4"/>
      <c r="C166" s="4"/>
      <c r="D166" s="4"/>
      <c r="E166" s="4"/>
      <c r="F166" s="4"/>
      <c r="G166" s="4"/>
      <c r="H166" s="4"/>
      <c r="I166" s="68"/>
      <c r="J166" s="4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 ht="15.75" customHeight="1" x14ac:dyDescent="0.25">
      <c r="A167" s="4" t="s">
        <v>33</v>
      </c>
      <c r="B167" s="4"/>
      <c r="C167" s="4"/>
      <c r="D167" s="4"/>
      <c r="E167" s="4"/>
      <c r="F167" s="4"/>
      <c r="G167" s="4"/>
      <c r="H167" s="4"/>
      <c r="I167" s="68"/>
      <c r="J167" s="4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 ht="15.75" customHeight="1" x14ac:dyDescent="0.25">
      <c r="A168" s="4" t="s">
        <v>34</v>
      </c>
      <c r="B168" s="4"/>
      <c r="C168" s="4"/>
      <c r="D168" s="4"/>
      <c r="E168" s="4"/>
      <c r="F168" s="4"/>
      <c r="G168" s="4"/>
      <c r="H168" s="4"/>
      <c r="I168" s="68"/>
      <c r="J168" s="4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 ht="15.75" customHeight="1" x14ac:dyDescent="0.25"/>
    <row r="171" spans="1:28" ht="15.75" customHeight="1" x14ac:dyDescent="0.25"/>
    <row r="172" spans="1:28" ht="15.75" customHeight="1" x14ac:dyDescent="0.25"/>
    <row r="173" spans="1:28" ht="15.75" customHeight="1" x14ac:dyDescent="0.25"/>
    <row r="174" spans="1:28" ht="15.75" customHeight="1" x14ac:dyDescent="0.25"/>
    <row r="175" spans="1:28" ht="15.75" customHeight="1" x14ac:dyDescent="0.25"/>
    <row r="176" spans="1:28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</sheetData>
  <mergeCells count="1">
    <mergeCell ref="A5:J6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67"/>
  <sheetViews>
    <sheetView topLeftCell="A46" workbookViewId="0">
      <selection activeCell="O68" sqref="O68"/>
    </sheetView>
  </sheetViews>
  <sheetFormatPr defaultColWidth="14.42578125" defaultRowHeight="15" customHeight="1" x14ac:dyDescent="0.25"/>
  <cols>
    <col min="1" max="1" width="8.7109375" customWidth="1"/>
    <col min="2" max="2" width="51.140625" customWidth="1"/>
    <col min="3" max="3" width="10.85546875" customWidth="1"/>
    <col min="4" max="7" width="8.7109375" customWidth="1"/>
    <col min="8" max="8" width="12.5703125" customWidth="1"/>
    <col min="9" max="9" width="13.42578125" customWidth="1"/>
    <col min="10" max="10" width="14.85546875" customWidth="1"/>
    <col min="11" max="37" width="8.7109375" customWidth="1"/>
  </cols>
  <sheetData>
    <row r="1" spans="1:37" ht="15.75" x14ac:dyDescent="0.25">
      <c r="A1" s="71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</row>
    <row r="2" spans="1:37" ht="15.75" x14ac:dyDescent="0.25">
      <c r="A2" s="71" t="s">
        <v>35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</row>
    <row r="3" spans="1:37" x14ac:dyDescent="0.25">
      <c r="A3" s="73" t="s">
        <v>36</v>
      </c>
      <c r="B3" s="73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</row>
    <row r="4" spans="1:37" ht="70.5" customHeight="1" x14ac:dyDescent="0.25">
      <c r="A4" s="143" t="s">
        <v>37</v>
      </c>
      <c r="B4" s="144"/>
      <c r="C4" s="144"/>
      <c r="D4" s="144"/>
      <c r="E4" s="144"/>
      <c r="F4" s="144"/>
      <c r="G4" s="144"/>
      <c r="H4" s="144"/>
      <c r="I4" s="144"/>
      <c r="J4" s="145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</row>
    <row r="5" spans="1:37" ht="54" customHeight="1" x14ac:dyDescent="0.25">
      <c r="A5" s="146"/>
      <c r="B5" s="141"/>
      <c r="C5" s="141"/>
      <c r="D5" s="141"/>
      <c r="E5" s="141"/>
      <c r="F5" s="141"/>
      <c r="G5" s="141"/>
      <c r="H5" s="141"/>
      <c r="I5" s="141"/>
      <c r="J5" s="147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</row>
    <row r="6" spans="1:37" ht="62.25" customHeight="1" x14ac:dyDescent="0.25">
      <c r="A6" s="148"/>
      <c r="B6" s="149"/>
      <c r="C6" s="149"/>
      <c r="D6" s="149"/>
      <c r="E6" s="149"/>
      <c r="F6" s="149"/>
      <c r="G6" s="149"/>
      <c r="H6" s="149"/>
      <c r="I6" s="149"/>
      <c r="J6" s="150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</row>
    <row r="7" spans="1:37" x14ac:dyDescent="0.25">
      <c r="A7" s="75"/>
      <c r="B7" s="76" t="s">
        <v>5</v>
      </c>
      <c r="C7" s="76" t="s">
        <v>6</v>
      </c>
      <c r="D7" s="76" t="s">
        <v>7</v>
      </c>
      <c r="E7" s="76" t="s">
        <v>8</v>
      </c>
      <c r="F7" s="76" t="s">
        <v>9</v>
      </c>
      <c r="G7" s="76" t="s">
        <v>10</v>
      </c>
      <c r="H7" s="77" t="s">
        <v>38</v>
      </c>
      <c r="I7" s="77" t="s">
        <v>39</v>
      </c>
      <c r="J7" s="77" t="s">
        <v>40</v>
      </c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</row>
    <row r="8" spans="1:37" x14ac:dyDescent="0.25">
      <c r="A8" s="25" t="s">
        <v>41</v>
      </c>
      <c r="B8" s="24" t="s">
        <v>15</v>
      </c>
      <c r="C8" s="23">
        <v>900</v>
      </c>
      <c r="D8" s="23">
        <v>200</v>
      </c>
      <c r="E8" s="23">
        <v>20</v>
      </c>
      <c r="F8" s="23">
        <f>48-2-1-1-6-2+10-1-1-12-2</f>
        <v>30</v>
      </c>
      <c r="G8" s="23">
        <f t="shared" ref="G8:G87" si="0">F8*E8*D8*C8/1000/1000/1000</f>
        <v>0.108</v>
      </c>
      <c r="H8" s="79">
        <v>180000</v>
      </c>
      <c r="I8" s="77">
        <f t="shared" ref="I8:I87" si="1">H8/1000*E8</f>
        <v>3600</v>
      </c>
      <c r="J8" s="77">
        <f t="shared" ref="J8:J87" si="2">E8*D8*C8*H8/1000/1000/1000</f>
        <v>648</v>
      </c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</row>
    <row r="9" spans="1:37" x14ac:dyDescent="0.25">
      <c r="A9" s="25" t="s">
        <v>41</v>
      </c>
      <c r="B9" s="24" t="s">
        <v>15</v>
      </c>
      <c r="C9" s="24">
        <v>1000</v>
      </c>
      <c r="D9" s="23">
        <v>600</v>
      </c>
      <c r="E9" s="24">
        <v>20</v>
      </c>
      <c r="F9" s="24">
        <f>78+265-78-2-70-130-10-2</f>
        <v>51</v>
      </c>
      <c r="G9" s="23">
        <f t="shared" si="0"/>
        <v>0.61199999999999999</v>
      </c>
      <c r="H9" s="79">
        <v>184500</v>
      </c>
      <c r="I9" s="77">
        <f t="shared" si="1"/>
        <v>3690</v>
      </c>
      <c r="J9" s="77">
        <f t="shared" si="2"/>
        <v>2214</v>
      </c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</row>
    <row r="10" spans="1:37" x14ac:dyDescent="0.25">
      <c r="A10" s="25" t="s">
        <v>41</v>
      </c>
      <c r="B10" s="24" t="s">
        <v>15</v>
      </c>
      <c r="C10" s="23">
        <v>1100</v>
      </c>
      <c r="D10" s="23">
        <v>600</v>
      </c>
      <c r="E10" s="23">
        <v>20</v>
      </c>
      <c r="F10" s="24">
        <f>11+4-11</f>
        <v>4</v>
      </c>
      <c r="G10" s="23">
        <f t="shared" si="0"/>
        <v>5.28E-2</v>
      </c>
      <c r="H10" s="79">
        <v>184500</v>
      </c>
      <c r="I10" s="77">
        <f t="shared" si="1"/>
        <v>3690</v>
      </c>
      <c r="J10" s="77">
        <f t="shared" si="2"/>
        <v>2435.4</v>
      </c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</row>
    <row r="11" spans="1:37" x14ac:dyDescent="0.25">
      <c r="A11" s="25" t="s">
        <v>41</v>
      </c>
      <c r="B11" s="24" t="s">
        <v>15</v>
      </c>
      <c r="C11" s="23">
        <v>1200</v>
      </c>
      <c r="D11" s="23">
        <v>600</v>
      </c>
      <c r="E11" s="23">
        <v>20</v>
      </c>
      <c r="F11" s="23">
        <f>11+353-2-11-70-6-130-2</f>
        <v>143</v>
      </c>
      <c r="G11" s="23">
        <f t="shared" si="0"/>
        <v>2.0591999999999997</v>
      </c>
      <c r="H11" s="79">
        <v>184500</v>
      </c>
      <c r="I11" s="77">
        <f t="shared" si="1"/>
        <v>3690</v>
      </c>
      <c r="J11" s="77">
        <f t="shared" si="2"/>
        <v>2656.8</v>
      </c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</row>
    <row r="12" spans="1:37" ht="15.75" customHeight="1" x14ac:dyDescent="0.25">
      <c r="A12" s="25" t="s">
        <v>41</v>
      </c>
      <c r="B12" s="24" t="s">
        <v>15</v>
      </c>
      <c r="C12" s="23">
        <v>1750</v>
      </c>
      <c r="D12" s="23">
        <v>600</v>
      </c>
      <c r="E12" s="23">
        <v>20</v>
      </c>
      <c r="F12" s="23">
        <f>3-2</f>
        <v>1</v>
      </c>
      <c r="G12" s="23">
        <f t="shared" si="0"/>
        <v>2.1000000000000001E-2</v>
      </c>
      <c r="H12" s="79">
        <v>199000</v>
      </c>
      <c r="I12" s="77">
        <f t="shared" si="1"/>
        <v>3980</v>
      </c>
      <c r="J12" s="77">
        <f t="shared" si="2"/>
        <v>4179</v>
      </c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</row>
    <row r="13" spans="1:37" ht="15.75" customHeight="1" x14ac:dyDescent="0.25">
      <c r="A13" s="25" t="s">
        <v>41</v>
      </c>
      <c r="B13" s="24" t="s">
        <v>15</v>
      </c>
      <c r="C13" s="24">
        <v>1800</v>
      </c>
      <c r="D13" s="24">
        <v>350</v>
      </c>
      <c r="E13" s="24">
        <v>20</v>
      </c>
      <c r="F13" s="24">
        <v>1</v>
      </c>
      <c r="G13" s="23">
        <f t="shared" si="0"/>
        <v>1.26E-2</v>
      </c>
      <c r="H13" s="79">
        <v>199000</v>
      </c>
      <c r="I13" s="77">
        <f t="shared" si="1"/>
        <v>3980</v>
      </c>
      <c r="J13" s="77">
        <f t="shared" si="2"/>
        <v>2507.4</v>
      </c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</row>
    <row r="14" spans="1:37" ht="15.75" customHeight="1" x14ac:dyDescent="0.25">
      <c r="A14" s="25" t="s">
        <v>41</v>
      </c>
      <c r="B14" s="24" t="s">
        <v>15</v>
      </c>
      <c r="C14" s="23">
        <v>1800</v>
      </c>
      <c r="D14" s="23">
        <v>600</v>
      </c>
      <c r="E14" s="23">
        <v>20</v>
      </c>
      <c r="F14" s="23">
        <f>20-12+25+9-1-2+9-1-3+21+22-4-2+19-5-12-2-3-7-20-5+1+19-1+14+29-10-10-9-3+2+31-1-3-10+2-1-3-12+18+5-3-10+20+10-1-1-2+45+39+33+16-1-3-5-1-3-12-10+7-5-1+1+81-4-10</f>
        <v>284</v>
      </c>
      <c r="G14" s="23">
        <f t="shared" si="0"/>
        <v>6.1343999999999994</v>
      </c>
      <c r="H14" s="79">
        <v>199000</v>
      </c>
      <c r="I14" s="77">
        <f t="shared" si="1"/>
        <v>3980</v>
      </c>
      <c r="J14" s="77">
        <f t="shared" si="2"/>
        <v>4298.3999999999996</v>
      </c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</row>
    <row r="15" spans="1:37" ht="15.75" customHeight="1" x14ac:dyDescent="0.25">
      <c r="A15" s="25" t="s">
        <v>41</v>
      </c>
      <c r="B15" s="24" t="s">
        <v>15</v>
      </c>
      <c r="C15" s="23">
        <v>1850</v>
      </c>
      <c r="D15" s="23">
        <v>600</v>
      </c>
      <c r="E15" s="23">
        <v>20</v>
      </c>
      <c r="F15" s="23">
        <v>1</v>
      </c>
      <c r="G15" s="23">
        <f t="shared" si="0"/>
        <v>2.2200000000000001E-2</v>
      </c>
      <c r="H15" s="79">
        <v>199000</v>
      </c>
      <c r="I15" s="77">
        <f t="shared" si="1"/>
        <v>3980</v>
      </c>
      <c r="J15" s="77">
        <f t="shared" si="2"/>
        <v>4417.8</v>
      </c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</row>
    <row r="16" spans="1:37" ht="15.75" customHeight="1" x14ac:dyDescent="0.25">
      <c r="A16" s="25" t="s">
        <v>41</v>
      </c>
      <c r="B16" s="24" t="s">
        <v>15</v>
      </c>
      <c r="C16" s="23">
        <v>1900</v>
      </c>
      <c r="D16" s="23">
        <v>600</v>
      </c>
      <c r="E16" s="23">
        <v>20</v>
      </c>
      <c r="F16" s="23">
        <f>1+35+1-3-30-3+1-1+69+51+2+42+93</f>
        <v>258</v>
      </c>
      <c r="G16" s="23">
        <f t="shared" si="0"/>
        <v>5.8823999999999996</v>
      </c>
      <c r="H16" s="79">
        <v>199000</v>
      </c>
      <c r="I16" s="77">
        <f t="shared" si="1"/>
        <v>3980</v>
      </c>
      <c r="J16" s="77">
        <f t="shared" si="2"/>
        <v>4537.2</v>
      </c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</row>
    <row r="17" spans="1:37" ht="15.75" customHeight="1" x14ac:dyDescent="0.25">
      <c r="A17" s="32" t="s">
        <v>41</v>
      </c>
      <c r="B17" s="80" t="s">
        <v>15</v>
      </c>
      <c r="C17" s="31">
        <v>1950</v>
      </c>
      <c r="D17" s="31">
        <v>600</v>
      </c>
      <c r="E17" s="31">
        <v>20</v>
      </c>
      <c r="F17" s="31">
        <f>15-8-4-1-1+1</f>
        <v>2</v>
      </c>
      <c r="G17" s="23">
        <f t="shared" si="0"/>
        <v>4.6799999999999994E-2</v>
      </c>
      <c r="H17" s="79">
        <v>199000</v>
      </c>
      <c r="I17" s="77">
        <f t="shared" si="1"/>
        <v>3980</v>
      </c>
      <c r="J17" s="77">
        <f t="shared" si="2"/>
        <v>4656.6000000000004</v>
      </c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</row>
    <row r="18" spans="1:37" ht="15.75" customHeight="1" x14ac:dyDescent="0.25">
      <c r="A18" s="32" t="s">
        <v>41</v>
      </c>
      <c r="B18" s="80" t="s">
        <v>15</v>
      </c>
      <c r="C18" s="31">
        <v>2000</v>
      </c>
      <c r="D18" s="31">
        <v>600</v>
      </c>
      <c r="E18" s="31">
        <v>20</v>
      </c>
      <c r="F18" s="31">
        <f>4-1-2+12+2-1-1-10-1-1+31-3-1+36+4-5+15-1+8-2-3-20+20+11-1-5-2-2+8-4+18+5-1+1-1+49-13-4-10-2-2+14-2-3-3+18-1-1-2-1-1-1-2-4+62-3-1-3-1+9+52+19-5-1+63+13-5+22-5-1+32-3+33-2-10-3+80-10-1+2-3-5+2-10</f>
        <v>453</v>
      </c>
      <c r="G18" s="23">
        <f t="shared" si="0"/>
        <v>10.872</v>
      </c>
      <c r="H18" s="35">
        <v>232000</v>
      </c>
      <c r="I18" s="81">
        <f t="shared" si="1"/>
        <v>4640</v>
      </c>
      <c r="J18" s="81">
        <f t="shared" si="2"/>
        <v>5568</v>
      </c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</row>
    <row r="19" spans="1:37" ht="15.75" customHeight="1" x14ac:dyDescent="0.25">
      <c r="A19" s="32" t="s">
        <v>41</v>
      </c>
      <c r="B19" s="80" t="s">
        <v>15</v>
      </c>
      <c r="C19" s="31">
        <v>2100</v>
      </c>
      <c r="D19" s="31">
        <v>600</v>
      </c>
      <c r="E19" s="31">
        <v>20</v>
      </c>
      <c r="F19" s="31">
        <f>2+10+3-1-3-8+16+9+5-3+2-1+14-2-4-2-5-2-1-10-2-1-5+4+3-1-5</f>
        <v>12</v>
      </c>
      <c r="G19" s="23">
        <f t="shared" si="0"/>
        <v>0.3024</v>
      </c>
      <c r="H19" s="35">
        <v>232000</v>
      </c>
      <c r="I19" s="81">
        <f t="shared" si="1"/>
        <v>4640</v>
      </c>
      <c r="J19" s="81">
        <f t="shared" si="2"/>
        <v>5846.4</v>
      </c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</row>
    <row r="20" spans="1:37" ht="15.75" customHeight="1" x14ac:dyDescent="0.25">
      <c r="A20" s="32" t="s">
        <v>41</v>
      </c>
      <c r="B20" s="80" t="s">
        <v>15</v>
      </c>
      <c r="C20" s="80">
        <v>2150</v>
      </c>
      <c r="D20" s="31">
        <v>600</v>
      </c>
      <c r="E20" s="31">
        <v>20</v>
      </c>
      <c r="F20" s="80">
        <v>1</v>
      </c>
      <c r="G20" s="23">
        <f t="shared" si="0"/>
        <v>2.58E-2</v>
      </c>
      <c r="H20" s="35">
        <v>232000</v>
      </c>
      <c r="I20" s="81">
        <f t="shared" si="1"/>
        <v>4640</v>
      </c>
      <c r="J20" s="81">
        <f t="shared" si="2"/>
        <v>5985.6</v>
      </c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</row>
    <row r="21" spans="1:37" ht="15.75" customHeight="1" x14ac:dyDescent="0.25">
      <c r="A21" s="32" t="s">
        <v>41</v>
      </c>
      <c r="B21" s="80" t="s">
        <v>15</v>
      </c>
      <c r="C21" s="31">
        <v>2200</v>
      </c>
      <c r="D21" s="31">
        <v>600</v>
      </c>
      <c r="E21" s="31">
        <v>20</v>
      </c>
      <c r="F21" s="31">
        <f>9+6-9+2-1-4+3-3+6+7-3+15-1-2+4-4-8-9+5-4-1-1-3+10+3-1-5-4+4-3-1+4-1-5-2+2-3</f>
        <v>2</v>
      </c>
      <c r="G21" s="23">
        <f t="shared" si="0"/>
        <v>5.28E-2</v>
      </c>
      <c r="H21" s="35">
        <v>232000</v>
      </c>
      <c r="I21" s="81">
        <f t="shared" si="1"/>
        <v>4640</v>
      </c>
      <c r="J21" s="81">
        <f t="shared" si="2"/>
        <v>6124.8</v>
      </c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</row>
    <row r="22" spans="1:37" ht="15.75" customHeight="1" x14ac:dyDescent="0.25">
      <c r="A22" s="32" t="s">
        <v>41</v>
      </c>
      <c r="B22" s="80" t="s">
        <v>15</v>
      </c>
      <c r="C22" s="80">
        <v>2250</v>
      </c>
      <c r="D22" s="31">
        <v>600</v>
      </c>
      <c r="E22" s="31">
        <v>20</v>
      </c>
      <c r="F22" s="80">
        <v>2</v>
      </c>
      <c r="G22" s="23">
        <f t="shared" si="0"/>
        <v>5.3999999999999999E-2</v>
      </c>
      <c r="H22" s="35">
        <v>232000</v>
      </c>
      <c r="I22" s="81">
        <f t="shared" si="1"/>
        <v>4640</v>
      </c>
      <c r="J22" s="81">
        <f t="shared" si="2"/>
        <v>6264</v>
      </c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</row>
    <row r="23" spans="1:37" ht="15.75" customHeight="1" x14ac:dyDescent="0.25">
      <c r="A23" s="32" t="s">
        <v>41</v>
      </c>
      <c r="B23" s="80" t="s">
        <v>15</v>
      </c>
      <c r="C23" s="31">
        <v>2300</v>
      </c>
      <c r="D23" s="31">
        <v>600</v>
      </c>
      <c r="E23" s="31">
        <v>20</v>
      </c>
      <c r="F23" s="31">
        <f>2-1+6-1+22+7-5-4-5-2-5+4-5-1</f>
        <v>12</v>
      </c>
      <c r="G23" s="23">
        <f t="shared" si="0"/>
        <v>0.33119999999999999</v>
      </c>
      <c r="H23" s="35">
        <v>232000</v>
      </c>
      <c r="I23" s="81">
        <f t="shared" si="1"/>
        <v>4640</v>
      </c>
      <c r="J23" s="81">
        <f t="shared" si="2"/>
        <v>6403.2</v>
      </c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</row>
    <row r="24" spans="1:37" ht="15.75" customHeight="1" x14ac:dyDescent="0.25">
      <c r="A24" s="32" t="s">
        <v>41</v>
      </c>
      <c r="B24" s="80" t="s">
        <v>15</v>
      </c>
      <c r="C24" s="80">
        <v>2350</v>
      </c>
      <c r="D24" s="31">
        <v>600</v>
      </c>
      <c r="E24" s="31">
        <v>20</v>
      </c>
      <c r="F24" s="80">
        <v>2</v>
      </c>
      <c r="G24" s="23">
        <f t="shared" si="0"/>
        <v>5.6399999999999999E-2</v>
      </c>
      <c r="H24" s="35">
        <v>232000</v>
      </c>
      <c r="I24" s="81">
        <f t="shared" si="1"/>
        <v>4640</v>
      </c>
      <c r="J24" s="81">
        <f t="shared" si="2"/>
        <v>6542.4</v>
      </c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</row>
    <row r="25" spans="1:37" ht="15.75" customHeight="1" x14ac:dyDescent="0.25">
      <c r="A25" s="32" t="s">
        <v>41</v>
      </c>
      <c r="B25" s="80" t="s">
        <v>15</v>
      </c>
      <c r="C25" s="31">
        <v>2400</v>
      </c>
      <c r="D25" s="31">
        <v>600</v>
      </c>
      <c r="E25" s="31">
        <v>20</v>
      </c>
      <c r="F25" s="31">
        <f>14-2+12-6+8-1-9-5+5-3+26-5-5-21+12-2-1+7-14-3+2+29-2+10-1+7+15+113+10-1-1-1+2+2+5+40+5-1+12-6-28-35-2+3+8+35+39-3-15+116+57-1+4+43-5+34-3-10+2-5-5-5-3+43-5</f>
        <v>505</v>
      </c>
      <c r="G25" s="23">
        <f t="shared" si="0"/>
        <v>14.544</v>
      </c>
      <c r="H25" s="35">
        <v>232000</v>
      </c>
      <c r="I25" s="81">
        <f t="shared" si="1"/>
        <v>4640</v>
      </c>
      <c r="J25" s="81">
        <f t="shared" si="2"/>
        <v>6681.6</v>
      </c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</row>
    <row r="26" spans="1:37" ht="15.75" customHeight="1" x14ac:dyDescent="0.25">
      <c r="A26" s="32" t="s">
        <v>41</v>
      </c>
      <c r="B26" s="80" t="s">
        <v>15</v>
      </c>
      <c r="C26" s="80">
        <v>2450</v>
      </c>
      <c r="D26" s="80">
        <v>600</v>
      </c>
      <c r="E26" s="80">
        <v>20</v>
      </c>
      <c r="F26" s="80">
        <v>2</v>
      </c>
      <c r="G26" s="23">
        <f t="shared" si="0"/>
        <v>5.8799999999999998E-2</v>
      </c>
      <c r="H26" s="35">
        <v>232000</v>
      </c>
      <c r="I26" s="81">
        <f t="shared" si="1"/>
        <v>4640</v>
      </c>
      <c r="J26" s="81">
        <f t="shared" si="2"/>
        <v>6820.8</v>
      </c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</row>
    <row r="27" spans="1:37" ht="15.75" customHeight="1" x14ac:dyDescent="0.25">
      <c r="A27" s="25" t="s">
        <v>41</v>
      </c>
      <c r="B27" s="24" t="s">
        <v>15</v>
      </c>
      <c r="C27" s="23">
        <v>2500</v>
      </c>
      <c r="D27" s="23">
        <v>600</v>
      </c>
      <c r="E27" s="23">
        <v>20</v>
      </c>
      <c r="F27" s="23">
        <f>5-1+9-4+24-3-1+2-1-3+5+6+8-1+3-5+2-1-2-5-1+20-10-1+5-8-5-3-5-3+1+12+6-3-3+25+4-3-1-20+7+19+4+7-2-1+2-10</f>
        <v>70</v>
      </c>
      <c r="G27" s="23">
        <f t="shared" si="0"/>
        <v>2.1</v>
      </c>
      <c r="H27" s="79">
        <v>232000</v>
      </c>
      <c r="I27" s="77">
        <f t="shared" si="1"/>
        <v>4640</v>
      </c>
      <c r="J27" s="77">
        <f t="shared" si="2"/>
        <v>6960</v>
      </c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</row>
    <row r="28" spans="1:37" ht="15.75" customHeight="1" x14ac:dyDescent="0.25">
      <c r="A28" s="25" t="s">
        <v>41</v>
      </c>
      <c r="B28" s="24" t="s">
        <v>15</v>
      </c>
      <c r="C28" s="24">
        <v>2550</v>
      </c>
      <c r="D28" s="23">
        <v>600</v>
      </c>
      <c r="E28" s="23">
        <v>20</v>
      </c>
      <c r="F28" s="24">
        <v>2</v>
      </c>
      <c r="G28" s="23">
        <f t="shared" si="0"/>
        <v>6.1200000000000004E-2</v>
      </c>
      <c r="H28" s="79">
        <v>232000</v>
      </c>
      <c r="I28" s="77">
        <f t="shared" si="1"/>
        <v>4640</v>
      </c>
      <c r="J28" s="77">
        <f t="shared" si="2"/>
        <v>7099.2</v>
      </c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</row>
    <row r="29" spans="1:37" ht="15.75" customHeight="1" x14ac:dyDescent="0.25">
      <c r="A29" s="25" t="s">
        <v>41</v>
      </c>
      <c r="B29" s="24" t="s">
        <v>15</v>
      </c>
      <c r="C29" s="23">
        <v>2600</v>
      </c>
      <c r="D29" s="23">
        <v>600</v>
      </c>
      <c r="E29" s="23">
        <v>20</v>
      </c>
      <c r="F29" s="23">
        <f>6+5-1-2+10-5+7-1+1+13-7-1-8+6-1-2+1-2+2+2</f>
        <v>23</v>
      </c>
      <c r="G29" s="23">
        <f t="shared" si="0"/>
        <v>0.71760000000000002</v>
      </c>
      <c r="H29" s="79">
        <v>232000</v>
      </c>
      <c r="I29" s="77">
        <f t="shared" si="1"/>
        <v>4640</v>
      </c>
      <c r="J29" s="77">
        <f t="shared" si="2"/>
        <v>7238.4</v>
      </c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</row>
    <row r="30" spans="1:37" ht="15.75" customHeight="1" x14ac:dyDescent="0.25">
      <c r="A30" s="25" t="s">
        <v>41</v>
      </c>
      <c r="B30" s="24" t="s">
        <v>15</v>
      </c>
      <c r="C30" s="24">
        <v>2650</v>
      </c>
      <c r="D30" s="23">
        <v>600</v>
      </c>
      <c r="E30" s="23">
        <v>20</v>
      </c>
      <c r="F30" s="24">
        <v>2</v>
      </c>
      <c r="G30" s="23">
        <f t="shared" si="0"/>
        <v>6.3600000000000004E-2</v>
      </c>
      <c r="H30" s="79">
        <v>232000</v>
      </c>
      <c r="I30" s="77">
        <f t="shared" si="1"/>
        <v>4640</v>
      </c>
      <c r="J30" s="77">
        <f t="shared" si="2"/>
        <v>7377.6</v>
      </c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</row>
    <row r="31" spans="1:37" ht="15.75" customHeight="1" x14ac:dyDescent="0.25">
      <c r="A31" s="25" t="s">
        <v>41</v>
      </c>
      <c r="B31" s="24" t="s">
        <v>15</v>
      </c>
      <c r="C31" s="23">
        <v>2700</v>
      </c>
      <c r="D31" s="23">
        <v>600</v>
      </c>
      <c r="E31" s="23">
        <v>20</v>
      </c>
      <c r="F31" s="23">
        <f>22+3+7+10+2-6-7-1+7-1-1-14-10-2-4+3-1-5</f>
        <v>2</v>
      </c>
      <c r="G31" s="23">
        <f t="shared" si="0"/>
        <v>6.4799999999999996E-2</v>
      </c>
      <c r="H31" s="79">
        <v>232000</v>
      </c>
      <c r="I31" s="77">
        <f t="shared" si="1"/>
        <v>4640</v>
      </c>
      <c r="J31" s="77">
        <f t="shared" si="2"/>
        <v>7516.8</v>
      </c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</row>
    <row r="32" spans="1:37" ht="15.75" customHeight="1" x14ac:dyDescent="0.25">
      <c r="A32" s="25" t="s">
        <v>41</v>
      </c>
      <c r="B32" s="24" t="s">
        <v>15</v>
      </c>
      <c r="C32" s="24">
        <v>2750</v>
      </c>
      <c r="D32" s="23">
        <v>600</v>
      </c>
      <c r="E32" s="23">
        <v>20</v>
      </c>
      <c r="F32" s="24">
        <v>4</v>
      </c>
      <c r="G32" s="23">
        <f t="shared" si="0"/>
        <v>0.13200000000000001</v>
      </c>
      <c r="H32" s="79">
        <v>232000</v>
      </c>
      <c r="I32" s="77">
        <f t="shared" si="1"/>
        <v>4640</v>
      </c>
      <c r="J32" s="77">
        <f t="shared" si="2"/>
        <v>7656</v>
      </c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</row>
    <row r="33" spans="1:37" ht="15.75" customHeight="1" x14ac:dyDescent="0.25">
      <c r="A33" s="25" t="s">
        <v>41</v>
      </c>
      <c r="B33" s="24" t="s">
        <v>15</v>
      </c>
      <c r="C33" s="23">
        <v>2800</v>
      </c>
      <c r="D33" s="23">
        <v>600</v>
      </c>
      <c r="E33" s="23">
        <v>20</v>
      </c>
      <c r="F33" s="23">
        <f>8-1+9-5+9+5+13+13+3-5-1-1-2-1-2+24-10+2-1+4-5+2-5</f>
        <v>53</v>
      </c>
      <c r="G33" s="23">
        <f t="shared" si="0"/>
        <v>1.7807999999999999</v>
      </c>
      <c r="H33" s="79">
        <v>232000</v>
      </c>
      <c r="I33" s="77">
        <f t="shared" si="1"/>
        <v>4640</v>
      </c>
      <c r="J33" s="77">
        <f t="shared" si="2"/>
        <v>7795.2</v>
      </c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</row>
    <row r="34" spans="1:37" ht="15.75" customHeight="1" x14ac:dyDescent="0.25">
      <c r="A34" s="25" t="s">
        <v>41</v>
      </c>
      <c r="B34" s="24" t="s">
        <v>15</v>
      </c>
      <c r="C34" s="24">
        <v>2850</v>
      </c>
      <c r="D34" s="23">
        <v>600</v>
      </c>
      <c r="E34" s="23">
        <v>20</v>
      </c>
      <c r="F34" s="24">
        <v>5</v>
      </c>
      <c r="G34" s="23">
        <f t="shared" si="0"/>
        <v>0.17100000000000001</v>
      </c>
      <c r="H34" s="79">
        <v>232000</v>
      </c>
      <c r="I34" s="77">
        <f t="shared" si="1"/>
        <v>4640</v>
      </c>
      <c r="J34" s="77">
        <f t="shared" si="2"/>
        <v>7934.4</v>
      </c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</row>
    <row r="35" spans="1:37" ht="15.75" customHeight="1" x14ac:dyDescent="0.25">
      <c r="A35" s="25" t="s">
        <v>41</v>
      </c>
      <c r="B35" s="24" t="s">
        <v>15</v>
      </c>
      <c r="C35" s="23">
        <v>2900</v>
      </c>
      <c r="D35" s="23">
        <v>600</v>
      </c>
      <c r="E35" s="23">
        <v>20</v>
      </c>
      <c r="F35" s="23">
        <f>10-1-5+31-1-1+22-10-2-1+15-2-2-2-9-1-4-10+10+2+1-10+2+4-1-3-2-1</f>
        <v>29</v>
      </c>
      <c r="G35" s="23">
        <f t="shared" si="0"/>
        <v>1.0092000000000001</v>
      </c>
      <c r="H35" s="79">
        <v>232000</v>
      </c>
      <c r="I35" s="77">
        <f t="shared" si="1"/>
        <v>4640</v>
      </c>
      <c r="J35" s="77">
        <f t="shared" si="2"/>
        <v>8073.6</v>
      </c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</row>
    <row r="36" spans="1:37" ht="15.75" customHeight="1" x14ac:dyDescent="0.25">
      <c r="A36" s="25" t="s">
        <v>41</v>
      </c>
      <c r="B36" s="24" t="s">
        <v>15</v>
      </c>
      <c r="C36" s="24">
        <v>2950</v>
      </c>
      <c r="D36" s="24">
        <v>600</v>
      </c>
      <c r="E36" s="24">
        <v>20</v>
      </c>
      <c r="F36" s="24">
        <v>5</v>
      </c>
      <c r="G36" s="23">
        <f t="shared" si="0"/>
        <v>0.17699999999999999</v>
      </c>
      <c r="H36" s="79">
        <v>232000</v>
      </c>
      <c r="I36" s="77">
        <f t="shared" si="1"/>
        <v>4640</v>
      </c>
      <c r="J36" s="77">
        <f t="shared" si="2"/>
        <v>8212.7999999999993</v>
      </c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</row>
    <row r="37" spans="1:37" ht="15.75" customHeight="1" x14ac:dyDescent="0.25">
      <c r="A37" s="25" t="s">
        <v>41</v>
      </c>
      <c r="B37" s="24" t="s">
        <v>15</v>
      </c>
      <c r="C37" s="23">
        <v>3000</v>
      </c>
      <c r="D37" s="23">
        <v>600</v>
      </c>
      <c r="E37" s="23">
        <v>20</v>
      </c>
      <c r="F37" s="23">
        <v>2</v>
      </c>
      <c r="G37" s="23">
        <f t="shared" si="0"/>
        <v>7.1999999999999995E-2</v>
      </c>
      <c r="H37" s="79">
        <v>246500</v>
      </c>
      <c r="I37" s="77">
        <f t="shared" si="1"/>
        <v>4930</v>
      </c>
      <c r="J37" s="77">
        <f t="shared" si="2"/>
        <v>8874</v>
      </c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</row>
    <row r="38" spans="1:37" ht="15.75" customHeight="1" x14ac:dyDescent="0.25">
      <c r="A38" s="25" t="s">
        <v>41</v>
      </c>
      <c r="B38" s="84" t="s">
        <v>18</v>
      </c>
      <c r="C38" s="23">
        <v>900</v>
      </c>
      <c r="D38" s="23">
        <v>600</v>
      </c>
      <c r="E38" s="23">
        <v>20</v>
      </c>
      <c r="F38" s="23">
        <f>17-14</f>
        <v>3</v>
      </c>
      <c r="G38" s="23">
        <f t="shared" si="0"/>
        <v>3.2399999999999998E-2</v>
      </c>
      <c r="H38" s="79">
        <v>158000</v>
      </c>
      <c r="I38" s="77">
        <f t="shared" si="1"/>
        <v>3160</v>
      </c>
      <c r="J38" s="77">
        <f t="shared" si="2"/>
        <v>1706.4</v>
      </c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</row>
    <row r="39" spans="1:37" ht="15.75" customHeight="1" x14ac:dyDescent="0.25">
      <c r="A39" s="25" t="s">
        <v>41</v>
      </c>
      <c r="B39" s="84" t="s">
        <v>18</v>
      </c>
      <c r="C39" s="23">
        <v>1000</v>
      </c>
      <c r="D39" s="23">
        <v>600</v>
      </c>
      <c r="E39" s="23">
        <v>20</v>
      </c>
      <c r="F39" s="23">
        <f>90-49-10</f>
        <v>31</v>
      </c>
      <c r="G39" s="23">
        <f t="shared" si="0"/>
        <v>0.372</v>
      </c>
      <c r="H39" s="79">
        <v>167500</v>
      </c>
      <c r="I39" s="77">
        <f t="shared" si="1"/>
        <v>3350</v>
      </c>
      <c r="J39" s="77">
        <f t="shared" si="2"/>
        <v>2010</v>
      </c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</row>
    <row r="40" spans="1:37" ht="15.75" customHeight="1" x14ac:dyDescent="0.25">
      <c r="A40" s="25" t="s">
        <v>41</v>
      </c>
      <c r="B40" s="84" t="s">
        <v>18</v>
      </c>
      <c r="C40" s="23">
        <v>1200</v>
      </c>
      <c r="D40" s="23">
        <v>600</v>
      </c>
      <c r="E40" s="23">
        <v>20</v>
      </c>
      <c r="F40" s="23">
        <f>39-16</f>
        <v>23</v>
      </c>
      <c r="G40" s="23">
        <f t="shared" si="0"/>
        <v>0.33119999999999999</v>
      </c>
      <c r="H40" s="79">
        <v>167500</v>
      </c>
      <c r="I40" s="77">
        <f t="shared" si="1"/>
        <v>3350</v>
      </c>
      <c r="J40" s="77">
        <f t="shared" si="2"/>
        <v>2412</v>
      </c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</row>
    <row r="41" spans="1:37" ht="15.75" customHeight="1" x14ac:dyDescent="0.25">
      <c r="A41" s="25" t="s">
        <v>41</v>
      </c>
      <c r="B41" s="84" t="s">
        <v>18</v>
      </c>
      <c r="C41" s="39">
        <v>1900</v>
      </c>
      <c r="D41" s="28">
        <v>600</v>
      </c>
      <c r="E41" s="28">
        <v>20</v>
      </c>
      <c r="F41" s="28">
        <v>2</v>
      </c>
      <c r="G41" s="23">
        <f t="shared" si="0"/>
        <v>4.5600000000000002E-2</v>
      </c>
      <c r="H41" s="79">
        <v>177000</v>
      </c>
      <c r="I41" s="77">
        <f t="shared" si="1"/>
        <v>3540</v>
      </c>
      <c r="J41" s="77">
        <f t="shared" si="2"/>
        <v>4035.6</v>
      </c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</row>
    <row r="42" spans="1:37" ht="15.75" customHeight="1" x14ac:dyDescent="0.25">
      <c r="A42" s="25" t="s">
        <v>41</v>
      </c>
      <c r="B42" s="84" t="s">
        <v>18</v>
      </c>
      <c r="C42" s="39">
        <v>2000</v>
      </c>
      <c r="D42" s="28">
        <v>600</v>
      </c>
      <c r="E42" s="28">
        <v>20</v>
      </c>
      <c r="F42" s="28">
        <v>1</v>
      </c>
      <c r="G42" s="23">
        <f t="shared" si="0"/>
        <v>2.4E-2</v>
      </c>
      <c r="H42" s="79">
        <v>196000</v>
      </c>
      <c r="I42" s="77">
        <f t="shared" si="1"/>
        <v>3920</v>
      </c>
      <c r="J42" s="77">
        <f t="shared" si="2"/>
        <v>4704</v>
      </c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</row>
    <row r="43" spans="1:37" ht="15.75" customHeight="1" x14ac:dyDescent="0.25">
      <c r="A43" s="25" t="s">
        <v>41</v>
      </c>
      <c r="B43" s="84" t="s">
        <v>18</v>
      </c>
      <c r="C43" s="23">
        <v>900</v>
      </c>
      <c r="D43" s="23">
        <v>300</v>
      </c>
      <c r="E43" s="23">
        <v>40</v>
      </c>
      <c r="F43" s="23">
        <v>12</v>
      </c>
      <c r="G43" s="23">
        <f t="shared" si="0"/>
        <v>0.12959999999999999</v>
      </c>
      <c r="H43" s="79">
        <v>184000</v>
      </c>
      <c r="I43" s="77">
        <f t="shared" si="1"/>
        <v>7360</v>
      </c>
      <c r="J43" s="77">
        <f t="shared" si="2"/>
        <v>1987.2</v>
      </c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</row>
    <row r="44" spans="1:37" ht="15.75" customHeight="1" x14ac:dyDescent="0.25">
      <c r="A44" s="25" t="s">
        <v>41</v>
      </c>
      <c r="B44" s="84" t="s">
        <v>18</v>
      </c>
      <c r="C44" s="23">
        <v>1000</v>
      </c>
      <c r="D44" s="23">
        <v>300</v>
      </c>
      <c r="E44" s="23">
        <v>40</v>
      </c>
      <c r="F44" s="24">
        <f>14</f>
        <v>14</v>
      </c>
      <c r="G44" s="23">
        <f t="shared" si="0"/>
        <v>0.16800000000000001</v>
      </c>
      <c r="H44" s="79">
        <v>190000</v>
      </c>
      <c r="I44" s="77">
        <f t="shared" si="1"/>
        <v>7600</v>
      </c>
      <c r="J44" s="77">
        <f t="shared" si="2"/>
        <v>2280</v>
      </c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</row>
    <row r="45" spans="1:37" ht="15.75" customHeight="1" x14ac:dyDescent="0.25">
      <c r="A45" s="25" t="s">
        <v>41</v>
      </c>
      <c r="B45" s="84" t="s">
        <v>18</v>
      </c>
      <c r="C45" s="23">
        <v>1200</v>
      </c>
      <c r="D45" s="23">
        <v>300</v>
      </c>
      <c r="E45" s="23">
        <v>40</v>
      </c>
      <c r="F45" s="23">
        <f>2+30-16</f>
        <v>16</v>
      </c>
      <c r="G45" s="23">
        <f t="shared" si="0"/>
        <v>0.23039999999999999</v>
      </c>
      <c r="H45" s="79">
        <v>190000</v>
      </c>
      <c r="I45" s="77">
        <f t="shared" si="1"/>
        <v>7600</v>
      </c>
      <c r="J45" s="77">
        <f t="shared" si="2"/>
        <v>2736</v>
      </c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</row>
    <row r="46" spans="1:37" ht="15.75" customHeight="1" x14ac:dyDescent="0.25">
      <c r="A46" s="25" t="s">
        <v>41</v>
      </c>
      <c r="B46" s="84" t="s">
        <v>18</v>
      </c>
      <c r="C46" s="24">
        <v>1300</v>
      </c>
      <c r="D46" s="24">
        <v>600</v>
      </c>
      <c r="E46" s="24">
        <v>40</v>
      </c>
      <c r="F46" s="24">
        <v>1</v>
      </c>
      <c r="G46" s="23">
        <f t="shared" si="0"/>
        <v>3.1199999999999999E-2</v>
      </c>
      <c r="H46" s="79">
        <v>190000</v>
      </c>
      <c r="I46" s="77">
        <f t="shared" si="1"/>
        <v>7600</v>
      </c>
      <c r="J46" s="77">
        <f t="shared" si="2"/>
        <v>5928</v>
      </c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</row>
    <row r="47" spans="1:37" ht="15.75" customHeight="1" x14ac:dyDescent="0.25">
      <c r="A47" s="25" t="s">
        <v>41</v>
      </c>
      <c r="B47" s="84" t="s">
        <v>18</v>
      </c>
      <c r="C47" s="24">
        <v>1400</v>
      </c>
      <c r="D47" s="24">
        <v>600</v>
      </c>
      <c r="E47" s="23">
        <v>40</v>
      </c>
      <c r="F47" s="24">
        <f>7+6-3</f>
        <v>10</v>
      </c>
      <c r="G47" s="23">
        <f t="shared" si="0"/>
        <v>0.33600000000000002</v>
      </c>
      <c r="H47" s="79">
        <v>190000</v>
      </c>
      <c r="I47" s="77">
        <f t="shared" si="1"/>
        <v>7600</v>
      </c>
      <c r="J47" s="77">
        <f t="shared" si="2"/>
        <v>6384</v>
      </c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</row>
    <row r="48" spans="1:37" ht="15.75" customHeight="1" x14ac:dyDescent="0.25">
      <c r="A48" s="36" t="s">
        <v>41</v>
      </c>
      <c r="B48" s="84" t="s">
        <v>18</v>
      </c>
      <c r="C48" s="24">
        <v>1500</v>
      </c>
      <c r="D48" s="23">
        <v>600</v>
      </c>
      <c r="E48" s="23">
        <v>40</v>
      </c>
      <c r="F48" s="24">
        <v>1</v>
      </c>
      <c r="G48" s="23">
        <f t="shared" si="0"/>
        <v>3.5999999999999997E-2</v>
      </c>
      <c r="H48" s="79">
        <v>200500</v>
      </c>
      <c r="I48" s="77">
        <f t="shared" si="1"/>
        <v>8020</v>
      </c>
      <c r="J48" s="77">
        <f t="shared" si="2"/>
        <v>7218</v>
      </c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</row>
    <row r="49" spans="1:37" ht="15.75" customHeight="1" x14ac:dyDescent="0.25">
      <c r="A49" s="36" t="s">
        <v>41</v>
      </c>
      <c r="B49" s="84" t="s">
        <v>18</v>
      </c>
      <c r="C49" s="24">
        <v>1600</v>
      </c>
      <c r="D49" s="23">
        <v>600</v>
      </c>
      <c r="E49" s="23">
        <v>40</v>
      </c>
      <c r="F49" s="24">
        <v>1</v>
      </c>
      <c r="G49" s="23">
        <f t="shared" si="0"/>
        <v>3.8399999999999997E-2</v>
      </c>
      <c r="H49" s="79">
        <v>200500</v>
      </c>
      <c r="I49" s="77">
        <f t="shared" si="1"/>
        <v>8020</v>
      </c>
      <c r="J49" s="77">
        <f t="shared" si="2"/>
        <v>7699.2</v>
      </c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</row>
    <row r="50" spans="1:37" ht="15.75" customHeight="1" x14ac:dyDescent="0.25">
      <c r="A50" s="36" t="s">
        <v>41</v>
      </c>
      <c r="B50" s="84" t="s">
        <v>18</v>
      </c>
      <c r="C50" s="23">
        <v>1800</v>
      </c>
      <c r="D50" s="23">
        <v>600</v>
      </c>
      <c r="E50" s="23">
        <v>40</v>
      </c>
      <c r="F50" s="23">
        <f>1</f>
        <v>1</v>
      </c>
      <c r="G50" s="23">
        <f t="shared" si="0"/>
        <v>4.3200000000000002E-2</v>
      </c>
      <c r="H50" s="79">
        <v>200500</v>
      </c>
      <c r="I50" s="77">
        <f t="shared" si="1"/>
        <v>8020</v>
      </c>
      <c r="J50" s="77">
        <f t="shared" si="2"/>
        <v>8661.6</v>
      </c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</row>
    <row r="51" spans="1:37" ht="15.75" customHeight="1" x14ac:dyDescent="0.25">
      <c r="A51" s="36" t="s">
        <v>41</v>
      </c>
      <c r="B51" s="84" t="s">
        <v>18</v>
      </c>
      <c r="C51" s="23">
        <v>2000</v>
      </c>
      <c r="D51" s="23">
        <v>600</v>
      </c>
      <c r="E51" s="23">
        <v>40</v>
      </c>
      <c r="F51" s="24">
        <v>5</v>
      </c>
      <c r="G51" s="23">
        <f t="shared" si="0"/>
        <v>0.24</v>
      </c>
      <c r="H51" s="79">
        <v>200500</v>
      </c>
      <c r="I51" s="77">
        <f t="shared" si="1"/>
        <v>8020</v>
      </c>
      <c r="J51" s="77">
        <f t="shared" si="2"/>
        <v>9624</v>
      </c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</row>
    <row r="52" spans="1:37" ht="15.75" customHeight="1" x14ac:dyDescent="0.25">
      <c r="A52" s="36" t="s">
        <v>41</v>
      </c>
      <c r="B52" s="84" t="s">
        <v>18</v>
      </c>
      <c r="C52" s="23">
        <v>2200</v>
      </c>
      <c r="D52" s="23">
        <v>600</v>
      </c>
      <c r="E52" s="23">
        <v>40</v>
      </c>
      <c r="F52" s="24">
        <f>4</f>
        <v>4</v>
      </c>
      <c r="G52" s="23">
        <f t="shared" si="0"/>
        <v>0.2112</v>
      </c>
      <c r="H52" s="79">
        <v>200500</v>
      </c>
      <c r="I52" s="77">
        <f t="shared" si="1"/>
        <v>8020</v>
      </c>
      <c r="J52" s="77">
        <f t="shared" si="2"/>
        <v>10586.4</v>
      </c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</row>
    <row r="53" spans="1:37" ht="15.75" customHeight="1" x14ac:dyDescent="0.25">
      <c r="A53" s="36" t="s">
        <v>41</v>
      </c>
      <c r="B53" s="84" t="s">
        <v>18</v>
      </c>
      <c r="C53" s="23">
        <v>2300</v>
      </c>
      <c r="D53" s="23">
        <v>600</v>
      </c>
      <c r="E53" s="23">
        <v>40</v>
      </c>
      <c r="F53" s="23">
        <f>2</f>
        <v>2</v>
      </c>
      <c r="G53" s="23">
        <f t="shared" si="0"/>
        <v>0.11040000000000001</v>
      </c>
      <c r="H53" s="79">
        <v>200500</v>
      </c>
      <c r="I53" s="77">
        <f t="shared" si="1"/>
        <v>8020</v>
      </c>
      <c r="J53" s="77">
        <f t="shared" si="2"/>
        <v>11067.6</v>
      </c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</row>
    <row r="54" spans="1:37" ht="15.75" customHeight="1" x14ac:dyDescent="0.25">
      <c r="A54" s="36" t="s">
        <v>41</v>
      </c>
      <c r="B54" s="84" t="s">
        <v>18</v>
      </c>
      <c r="C54" s="23">
        <v>2400</v>
      </c>
      <c r="D54" s="23">
        <v>600</v>
      </c>
      <c r="E54" s="23">
        <v>40</v>
      </c>
      <c r="F54" s="23">
        <f>3-2+4+5+5</f>
        <v>15</v>
      </c>
      <c r="G54" s="23">
        <f t="shared" si="0"/>
        <v>0.86399999999999999</v>
      </c>
      <c r="H54" s="79">
        <v>200500</v>
      </c>
      <c r="I54" s="77">
        <f t="shared" si="1"/>
        <v>8020</v>
      </c>
      <c r="J54" s="77">
        <f t="shared" si="2"/>
        <v>11548.8</v>
      </c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</row>
    <row r="55" spans="1:37" ht="15.75" customHeight="1" x14ac:dyDescent="0.25">
      <c r="A55" s="36" t="s">
        <v>41</v>
      </c>
      <c r="B55" s="84" t="s">
        <v>18</v>
      </c>
      <c r="C55" s="23">
        <v>2600</v>
      </c>
      <c r="D55" s="23">
        <v>600</v>
      </c>
      <c r="E55" s="23">
        <v>40</v>
      </c>
      <c r="F55" s="23">
        <f>1+2+5+2-4</f>
        <v>6</v>
      </c>
      <c r="G55" s="23">
        <f t="shared" si="0"/>
        <v>0.37439999999999996</v>
      </c>
      <c r="H55" s="79">
        <v>200500</v>
      </c>
      <c r="I55" s="77">
        <f t="shared" si="1"/>
        <v>8020</v>
      </c>
      <c r="J55" s="77">
        <f t="shared" si="2"/>
        <v>12511.2</v>
      </c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</row>
    <row r="56" spans="1:37" ht="15.75" customHeight="1" x14ac:dyDescent="0.25">
      <c r="A56" s="36" t="s">
        <v>41</v>
      </c>
      <c r="B56" s="84" t="s">
        <v>18</v>
      </c>
      <c r="C56" s="23">
        <v>2700</v>
      </c>
      <c r="D56" s="23">
        <v>600</v>
      </c>
      <c r="E56" s="23">
        <v>40</v>
      </c>
      <c r="F56" s="23">
        <f>1</f>
        <v>1</v>
      </c>
      <c r="G56" s="23">
        <f t="shared" si="0"/>
        <v>6.4799999999999996E-2</v>
      </c>
      <c r="H56" s="79">
        <v>200500</v>
      </c>
      <c r="I56" s="77">
        <f t="shared" si="1"/>
        <v>8020</v>
      </c>
      <c r="J56" s="77">
        <f t="shared" si="2"/>
        <v>12992.4</v>
      </c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</row>
    <row r="57" spans="1:37" ht="15.75" customHeight="1" x14ac:dyDescent="0.25">
      <c r="A57" s="36" t="s">
        <v>41</v>
      </c>
      <c r="B57" s="84" t="s">
        <v>18</v>
      </c>
      <c r="C57" s="23">
        <v>2800</v>
      </c>
      <c r="D57" s="23">
        <v>600</v>
      </c>
      <c r="E57" s="23">
        <v>40</v>
      </c>
      <c r="F57" s="23">
        <f>7+5-1+4</f>
        <v>15</v>
      </c>
      <c r="G57" s="23">
        <f t="shared" si="0"/>
        <v>1.008</v>
      </c>
      <c r="H57" s="79">
        <v>200500</v>
      </c>
      <c r="I57" s="77">
        <f t="shared" si="1"/>
        <v>8020</v>
      </c>
      <c r="J57" s="77">
        <f t="shared" si="2"/>
        <v>13473.6</v>
      </c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</row>
    <row r="58" spans="1:37" ht="15.75" customHeight="1" x14ac:dyDescent="0.25">
      <c r="A58" s="36" t="s">
        <v>41</v>
      </c>
      <c r="B58" s="84" t="s">
        <v>18</v>
      </c>
      <c r="C58" s="24">
        <v>2900</v>
      </c>
      <c r="D58" s="24">
        <v>600</v>
      </c>
      <c r="E58" s="24">
        <v>40</v>
      </c>
      <c r="F58" s="24">
        <v>1</v>
      </c>
      <c r="G58" s="23">
        <f t="shared" si="0"/>
        <v>6.9599999999999995E-2</v>
      </c>
      <c r="H58" s="79">
        <v>200500</v>
      </c>
      <c r="I58" s="77">
        <f t="shared" si="1"/>
        <v>8020</v>
      </c>
      <c r="J58" s="77">
        <f t="shared" si="2"/>
        <v>13954.8</v>
      </c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</row>
    <row r="59" spans="1:37" ht="15.75" customHeight="1" x14ac:dyDescent="0.25">
      <c r="A59" s="36" t="s">
        <v>41</v>
      </c>
      <c r="B59" s="84" t="s">
        <v>18</v>
      </c>
      <c r="C59" s="24">
        <v>3000</v>
      </c>
      <c r="D59" s="23">
        <v>600</v>
      </c>
      <c r="E59" s="23">
        <v>40</v>
      </c>
      <c r="F59" s="23">
        <f>6+2-1+2</f>
        <v>9</v>
      </c>
      <c r="G59" s="23">
        <f t="shared" si="0"/>
        <v>0.64800000000000002</v>
      </c>
      <c r="H59" s="79">
        <v>237000</v>
      </c>
      <c r="I59" s="77">
        <f t="shared" si="1"/>
        <v>9480</v>
      </c>
      <c r="J59" s="77">
        <f t="shared" si="2"/>
        <v>17064</v>
      </c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</row>
    <row r="60" spans="1:37" ht="15.75" customHeight="1" x14ac:dyDescent="0.25">
      <c r="A60" s="25" t="s">
        <v>41</v>
      </c>
      <c r="B60" s="24" t="s">
        <v>15</v>
      </c>
      <c r="C60" s="23">
        <v>900</v>
      </c>
      <c r="D60" s="23">
        <v>300</v>
      </c>
      <c r="E60" s="23">
        <v>40</v>
      </c>
      <c r="F60" s="23">
        <v>6</v>
      </c>
      <c r="G60" s="23">
        <f t="shared" si="0"/>
        <v>6.4799999999999996E-2</v>
      </c>
      <c r="H60" s="79">
        <v>185000</v>
      </c>
      <c r="I60" s="77">
        <f t="shared" si="1"/>
        <v>7400</v>
      </c>
      <c r="J60" s="77">
        <f t="shared" si="2"/>
        <v>1998</v>
      </c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</row>
    <row r="61" spans="1:37" ht="15.75" customHeight="1" x14ac:dyDescent="0.25">
      <c r="A61" s="25" t="s">
        <v>41</v>
      </c>
      <c r="B61" s="24" t="s">
        <v>15</v>
      </c>
      <c r="C61" s="23">
        <v>1200</v>
      </c>
      <c r="D61" s="23">
        <v>300</v>
      </c>
      <c r="E61" s="23">
        <v>40</v>
      </c>
      <c r="F61" s="12">
        <v>6</v>
      </c>
      <c r="G61" s="23">
        <f t="shared" si="0"/>
        <v>8.6400000000000005E-2</v>
      </c>
      <c r="H61" s="79">
        <v>199000</v>
      </c>
      <c r="I61" s="77">
        <f t="shared" si="1"/>
        <v>7960</v>
      </c>
      <c r="J61" s="77">
        <f t="shared" si="2"/>
        <v>2865.6</v>
      </c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</row>
    <row r="62" spans="1:37" ht="15.75" customHeight="1" x14ac:dyDescent="0.25">
      <c r="A62" s="25" t="s">
        <v>41</v>
      </c>
      <c r="B62" s="24" t="s">
        <v>15</v>
      </c>
      <c r="C62" s="23">
        <v>1500</v>
      </c>
      <c r="D62" s="23">
        <v>600</v>
      </c>
      <c r="E62" s="23">
        <v>40</v>
      </c>
      <c r="F62" s="23">
        <f>1</f>
        <v>1</v>
      </c>
      <c r="G62" s="23">
        <f t="shared" si="0"/>
        <v>3.5999999999999997E-2</v>
      </c>
      <c r="H62" s="79">
        <v>199000</v>
      </c>
      <c r="I62" s="77">
        <f t="shared" si="1"/>
        <v>7960</v>
      </c>
      <c r="J62" s="77">
        <f t="shared" si="2"/>
        <v>7164</v>
      </c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</row>
    <row r="63" spans="1:37" ht="15.75" customHeight="1" x14ac:dyDescent="0.25">
      <c r="A63" s="25" t="s">
        <v>41</v>
      </c>
      <c r="B63" s="24" t="s">
        <v>15</v>
      </c>
      <c r="C63" s="23">
        <v>1600</v>
      </c>
      <c r="D63" s="23">
        <v>600</v>
      </c>
      <c r="E63" s="23">
        <v>40</v>
      </c>
      <c r="F63" s="24">
        <v>1</v>
      </c>
      <c r="G63" s="23">
        <f t="shared" si="0"/>
        <v>3.8399999999999997E-2</v>
      </c>
      <c r="H63" s="79">
        <v>208500</v>
      </c>
      <c r="I63" s="77">
        <f t="shared" si="1"/>
        <v>8340</v>
      </c>
      <c r="J63" s="77">
        <f t="shared" si="2"/>
        <v>8006.4</v>
      </c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</row>
    <row r="64" spans="1:37" ht="15.75" customHeight="1" x14ac:dyDescent="0.25">
      <c r="A64" s="25" t="s">
        <v>41</v>
      </c>
      <c r="B64" s="24" t="s">
        <v>15</v>
      </c>
      <c r="C64" s="23">
        <v>1800</v>
      </c>
      <c r="D64" s="23">
        <v>600</v>
      </c>
      <c r="E64" s="23">
        <v>40</v>
      </c>
      <c r="F64" s="23">
        <f>10-3-2-2+8-3-3-1-1+1-1-1+1</f>
        <v>3</v>
      </c>
      <c r="G64" s="23">
        <f t="shared" si="0"/>
        <v>0.12959999999999999</v>
      </c>
      <c r="H64" s="79">
        <v>208500</v>
      </c>
      <c r="I64" s="77">
        <f t="shared" si="1"/>
        <v>8340</v>
      </c>
      <c r="J64" s="77">
        <f t="shared" si="2"/>
        <v>9007.2000000000007</v>
      </c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</row>
    <row r="65" spans="1:37" ht="15.75" customHeight="1" x14ac:dyDescent="0.25">
      <c r="A65" s="25" t="s">
        <v>41</v>
      </c>
      <c r="B65" s="24" t="s">
        <v>15</v>
      </c>
      <c r="C65" s="23">
        <v>2200</v>
      </c>
      <c r="D65" s="23">
        <v>600</v>
      </c>
      <c r="E65" s="23">
        <v>40</v>
      </c>
      <c r="F65" s="85">
        <v>1</v>
      </c>
      <c r="G65" s="23">
        <f t="shared" si="0"/>
        <v>5.28E-2</v>
      </c>
      <c r="H65" s="79">
        <v>208500</v>
      </c>
      <c r="I65" s="77">
        <f t="shared" si="1"/>
        <v>8340</v>
      </c>
      <c r="J65" s="77">
        <f t="shared" si="2"/>
        <v>11008.8</v>
      </c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</row>
    <row r="66" spans="1:37" ht="15.75" customHeight="1" x14ac:dyDescent="0.25">
      <c r="A66" s="25" t="s">
        <v>41</v>
      </c>
      <c r="B66" s="24" t="s">
        <v>15</v>
      </c>
      <c r="C66" s="23">
        <v>2300</v>
      </c>
      <c r="D66" s="23">
        <v>600</v>
      </c>
      <c r="E66" s="23">
        <v>40</v>
      </c>
      <c r="F66" s="85">
        <f>1</f>
        <v>1</v>
      </c>
      <c r="G66" s="23">
        <f t="shared" si="0"/>
        <v>5.5200000000000006E-2</v>
      </c>
      <c r="H66" s="79">
        <v>208500</v>
      </c>
      <c r="I66" s="77">
        <f t="shared" si="1"/>
        <v>8340</v>
      </c>
      <c r="J66" s="77">
        <f t="shared" si="2"/>
        <v>11509.2</v>
      </c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</row>
    <row r="67" spans="1:37" ht="15.75" customHeight="1" x14ac:dyDescent="0.25">
      <c r="A67" s="25" t="s">
        <v>41</v>
      </c>
      <c r="B67" s="24" t="s">
        <v>15</v>
      </c>
      <c r="C67" s="23">
        <v>2400</v>
      </c>
      <c r="D67" s="23">
        <v>600</v>
      </c>
      <c r="E67" s="23">
        <v>40</v>
      </c>
      <c r="F67" s="85">
        <v>4</v>
      </c>
      <c r="G67" s="23">
        <f t="shared" si="0"/>
        <v>0.23039999999999999</v>
      </c>
      <c r="H67" s="79">
        <v>208500</v>
      </c>
      <c r="I67" s="77">
        <f t="shared" si="1"/>
        <v>8340</v>
      </c>
      <c r="J67" s="77">
        <f t="shared" si="2"/>
        <v>12009.6</v>
      </c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</row>
    <row r="68" spans="1:37" ht="15.75" customHeight="1" x14ac:dyDescent="0.25">
      <c r="A68" s="25" t="s">
        <v>41</v>
      </c>
      <c r="B68" s="24" t="s">
        <v>15</v>
      </c>
      <c r="C68" s="23">
        <v>2600</v>
      </c>
      <c r="D68" s="23">
        <v>600</v>
      </c>
      <c r="E68" s="23">
        <v>40</v>
      </c>
      <c r="F68" s="23">
        <f>13-1+3-1-1-8-1+2-2-2+2</f>
        <v>4</v>
      </c>
      <c r="G68" s="23">
        <f t="shared" si="0"/>
        <v>0.24959999999999999</v>
      </c>
      <c r="H68" s="79">
        <v>208500</v>
      </c>
      <c r="I68" s="77">
        <f t="shared" si="1"/>
        <v>8340</v>
      </c>
      <c r="J68" s="77">
        <f t="shared" si="2"/>
        <v>13010.4</v>
      </c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</row>
    <row r="69" spans="1:37" ht="15.75" customHeight="1" x14ac:dyDescent="0.25">
      <c r="A69" s="25" t="s">
        <v>41</v>
      </c>
      <c r="B69" s="24" t="s">
        <v>15</v>
      </c>
      <c r="C69" s="23">
        <v>2700</v>
      </c>
      <c r="D69" s="23">
        <v>600</v>
      </c>
      <c r="E69" s="23">
        <v>40</v>
      </c>
      <c r="F69" s="23">
        <f>7+7+2-4-1+1</f>
        <v>12</v>
      </c>
      <c r="G69" s="23">
        <f t="shared" si="0"/>
        <v>0.77760000000000007</v>
      </c>
      <c r="H69" s="79">
        <v>208500</v>
      </c>
      <c r="I69" s="77">
        <f t="shared" si="1"/>
        <v>8340</v>
      </c>
      <c r="J69" s="77">
        <f t="shared" si="2"/>
        <v>13510.8</v>
      </c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</row>
    <row r="70" spans="1:37" ht="15.75" customHeight="1" x14ac:dyDescent="0.25">
      <c r="A70" s="25" t="s">
        <v>41</v>
      </c>
      <c r="B70" s="24" t="s">
        <v>15</v>
      </c>
      <c r="C70" s="23">
        <v>2800</v>
      </c>
      <c r="D70" s="23">
        <v>600</v>
      </c>
      <c r="E70" s="23">
        <v>40</v>
      </c>
      <c r="F70" s="86">
        <f>16+1+6-2+3-1+1</f>
        <v>24</v>
      </c>
      <c r="G70" s="23">
        <f t="shared" si="0"/>
        <v>1.6128</v>
      </c>
      <c r="H70" s="79">
        <v>208500</v>
      </c>
      <c r="I70" s="77">
        <f t="shared" si="1"/>
        <v>8340</v>
      </c>
      <c r="J70" s="77">
        <f t="shared" si="2"/>
        <v>14011.2</v>
      </c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</row>
    <row r="71" spans="1:37" ht="15.75" customHeight="1" x14ac:dyDescent="0.25">
      <c r="A71" s="25" t="s">
        <v>41</v>
      </c>
      <c r="B71" s="24" t="s">
        <v>15</v>
      </c>
      <c r="C71" s="23">
        <v>2900</v>
      </c>
      <c r="D71" s="23">
        <v>600</v>
      </c>
      <c r="E71" s="23">
        <v>40</v>
      </c>
      <c r="F71" s="23">
        <v>3</v>
      </c>
      <c r="G71" s="23">
        <f t="shared" si="0"/>
        <v>0.20880000000000001</v>
      </c>
      <c r="H71" s="79">
        <v>208500</v>
      </c>
      <c r="I71" s="77">
        <f t="shared" si="1"/>
        <v>8340</v>
      </c>
      <c r="J71" s="77">
        <f t="shared" si="2"/>
        <v>14511.6</v>
      </c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</row>
    <row r="72" spans="1:37" ht="15.75" customHeight="1" x14ac:dyDescent="0.25">
      <c r="A72" s="25" t="s">
        <v>41</v>
      </c>
      <c r="B72" s="24" t="s">
        <v>15</v>
      </c>
      <c r="C72" s="87">
        <v>3000</v>
      </c>
      <c r="D72" s="23">
        <v>600</v>
      </c>
      <c r="E72" s="23">
        <v>40</v>
      </c>
      <c r="F72" s="87">
        <v>2</v>
      </c>
      <c r="G72" s="23">
        <f t="shared" si="0"/>
        <v>0.14399999999999999</v>
      </c>
      <c r="H72" s="79">
        <v>246500</v>
      </c>
      <c r="I72" s="77">
        <f t="shared" si="1"/>
        <v>9860</v>
      </c>
      <c r="J72" s="77">
        <f t="shared" si="2"/>
        <v>17748</v>
      </c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2"/>
    </row>
    <row r="73" spans="1:37" ht="15.75" customHeight="1" x14ac:dyDescent="0.25">
      <c r="A73" s="88" t="s">
        <v>41</v>
      </c>
      <c r="B73" s="89" t="s">
        <v>42</v>
      </c>
      <c r="C73" s="89">
        <v>2450</v>
      </c>
      <c r="D73" s="89">
        <v>620</v>
      </c>
      <c r="E73" s="89">
        <v>20</v>
      </c>
      <c r="F73" s="89">
        <f>315-33-10</f>
        <v>272</v>
      </c>
      <c r="G73" s="23">
        <f t="shared" si="0"/>
        <v>8.2633600000000005</v>
      </c>
      <c r="H73" s="89">
        <v>120000</v>
      </c>
      <c r="I73" s="90">
        <f t="shared" si="1"/>
        <v>2400</v>
      </c>
      <c r="J73" s="90">
        <f t="shared" si="2"/>
        <v>3645.6</v>
      </c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</row>
    <row r="74" spans="1:37" ht="15.75" customHeight="1" x14ac:dyDescent="0.25">
      <c r="A74" s="88" t="s">
        <v>41</v>
      </c>
      <c r="B74" s="89" t="s">
        <v>43</v>
      </c>
      <c r="C74" s="89">
        <v>2450</v>
      </c>
      <c r="D74" s="89">
        <v>620</v>
      </c>
      <c r="E74" s="89">
        <v>20</v>
      </c>
      <c r="F74" s="89">
        <f>134-14-15-70</f>
        <v>35</v>
      </c>
      <c r="G74" s="23">
        <f t="shared" si="0"/>
        <v>1.0632999999999999</v>
      </c>
      <c r="H74" s="89">
        <v>95000</v>
      </c>
      <c r="I74" s="90">
        <f t="shared" si="1"/>
        <v>1900</v>
      </c>
      <c r="J74" s="90">
        <f t="shared" si="2"/>
        <v>2886.1</v>
      </c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</row>
    <row r="75" spans="1:37" ht="15.75" customHeight="1" x14ac:dyDescent="0.25">
      <c r="A75" s="88" t="s">
        <v>41</v>
      </c>
      <c r="B75" s="89" t="s">
        <v>44</v>
      </c>
      <c r="C75" s="90">
        <v>3000</v>
      </c>
      <c r="D75" s="90">
        <v>600</v>
      </c>
      <c r="E75" s="90">
        <v>20</v>
      </c>
      <c r="F75" s="90">
        <v>10</v>
      </c>
      <c r="G75" s="23">
        <f t="shared" si="0"/>
        <v>0.36</v>
      </c>
      <c r="H75" s="89">
        <v>120000</v>
      </c>
      <c r="I75" s="90">
        <f t="shared" si="1"/>
        <v>2400</v>
      </c>
      <c r="J75" s="90">
        <f t="shared" si="2"/>
        <v>4320</v>
      </c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2"/>
    </row>
    <row r="76" spans="1:37" ht="15.75" customHeight="1" x14ac:dyDescent="0.25">
      <c r="A76" s="88" t="s">
        <v>41</v>
      </c>
      <c r="B76" s="89" t="s">
        <v>45</v>
      </c>
      <c r="C76" s="90">
        <v>3000</v>
      </c>
      <c r="D76" s="90">
        <v>600</v>
      </c>
      <c r="E76" s="90">
        <v>20</v>
      </c>
      <c r="F76" s="90">
        <v>62</v>
      </c>
      <c r="G76" s="23">
        <f t="shared" si="0"/>
        <v>2.2320000000000002</v>
      </c>
      <c r="H76" s="89">
        <v>110000</v>
      </c>
      <c r="I76" s="90">
        <f t="shared" si="1"/>
        <v>2200</v>
      </c>
      <c r="J76" s="90">
        <f t="shared" si="2"/>
        <v>3960</v>
      </c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</row>
    <row r="77" spans="1:37" ht="15.75" customHeight="1" x14ac:dyDescent="0.25">
      <c r="A77" s="25" t="s">
        <v>41</v>
      </c>
      <c r="B77" s="24" t="s">
        <v>22</v>
      </c>
      <c r="C77" s="23">
        <v>3000</v>
      </c>
      <c r="D77" s="84">
        <v>400</v>
      </c>
      <c r="E77" s="23">
        <v>20</v>
      </c>
      <c r="F77" s="23">
        <f>40+44-1-1-2-6-5-3-1+43-6-5-2-3-1-4-5-1-3-1-5-1-1-5-2-1-4-1-1</f>
        <v>56</v>
      </c>
      <c r="G77" s="23">
        <f t="shared" si="0"/>
        <v>1.3440000000000001</v>
      </c>
      <c r="H77" s="79">
        <v>135000</v>
      </c>
      <c r="I77" s="77">
        <f t="shared" si="1"/>
        <v>2700</v>
      </c>
      <c r="J77" s="77">
        <f t="shared" si="2"/>
        <v>3240</v>
      </c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</row>
    <row r="78" spans="1:37" ht="15.75" customHeight="1" x14ac:dyDescent="0.25">
      <c r="A78" s="25" t="s">
        <v>41</v>
      </c>
      <c r="B78" s="24" t="s">
        <v>22</v>
      </c>
      <c r="C78" s="24">
        <v>3500</v>
      </c>
      <c r="D78" s="84">
        <v>400</v>
      </c>
      <c r="E78" s="23">
        <v>20</v>
      </c>
      <c r="F78" s="24">
        <f>67-5-3-1-3-9-1-2</f>
        <v>43</v>
      </c>
      <c r="G78" s="23">
        <f t="shared" si="0"/>
        <v>1.204</v>
      </c>
      <c r="H78" s="79">
        <v>135000</v>
      </c>
      <c r="I78" s="77">
        <f t="shared" si="1"/>
        <v>2700</v>
      </c>
      <c r="J78" s="77">
        <f t="shared" si="2"/>
        <v>3780</v>
      </c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</row>
    <row r="79" spans="1:37" ht="15.75" customHeight="1" x14ac:dyDescent="0.25">
      <c r="A79" s="25" t="s">
        <v>41</v>
      </c>
      <c r="B79" s="24" t="s">
        <v>22</v>
      </c>
      <c r="C79" s="23">
        <v>4000</v>
      </c>
      <c r="D79" s="84">
        <v>400</v>
      </c>
      <c r="E79" s="23">
        <v>20</v>
      </c>
      <c r="F79" s="24">
        <f>61-10-1-9-1-3</f>
        <v>37</v>
      </c>
      <c r="G79" s="23">
        <f t="shared" si="0"/>
        <v>1.1839999999999999</v>
      </c>
      <c r="H79" s="79">
        <v>135000</v>
      </c>
      <c r="I79" s="77">
        <f t="shared" si="1"/>
        <v>2700</v>
      </c>
      <c r="J79" s="77">
        <f t="shared" si="2"/>
        <v>4320</v>
      </c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</row>
    <row r="80" spans="1:37" ht="15.75" customHeight="1" x14ac:dyDescent="0.25">
      <c r="A80" s="25" t="s">
        <v>41</v>
      </c>
      <c r="B80" s="24" t="s">
        <v>22</v>
      </c>
      <c r="C80" s="24">
        <v>1800</v>
      </c>
      <c r="D80" s="24">
        <v>600</v>
      </c>
      <c r="E80" s="24">
        <v>20</v>
      </c>
      <c r="F80" s="24">
        <v>1</v>
      </c>
      <c r="G80" s="23">
        <f t="shared" si="0"/>
        <v>2.1600000000000001E-2</v>
      </c>
      <c r="H80" s="79">
        <v>135000</v>
      </c>
      <c r="I80" s="77">
        <f t="shared" si="1"/>
        <v>2700</v>
      </c>
      <c r="J80" s="77">
        <f t="shared" si="2"/>
        <v>2916</v>
      </c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</row>
    <row r="81" spans="1:37" ht="15.75" customHeight="1" x14ac:dyDescent="0.25">
      <c r="A81" s="32" t="s">
        <v>41</v>
      </c>
      <c r="B81" s="24" t="s">
        <v>22</v>
      </c>
      <c r="C81" s="31">
        <v>3000</v>
      </c>
      <c r="D81" s="31">
        <v>600</v>
      </c>
      <c r="E81" s="31">
        <v>20</v>
      </c>
      <c r="F81" s="31">
        <f>125+411-10-30-30-9-3+7-1-12-35-1-40-2-10-30-256-2+155-100-15-10-10-4-16-3-7-30+154-25-33-20-2-7-3-30-1-2+74-14-58-5-25-5-1-1-6+36-3-1+89-19-8-3+140-10-1+67-4-4-12+119+117-1-1+32-4-1-1-7-3-1-5-4-100-16-2+194-7-26-1+139-17-2-5-1-1-2-7+157-1-9-1-3+28-11-2-2-1-15-4-10-1-10-3+216-1-2</f>
        <v>1000</v>
      </c>
      <c r="G81" s="23">
        <f t="shared" si="0"/>
        <v>36</v>
      </c>
      <c r="H81" s="79">
        <v>135000</v>
      </c>
      <c r="I81" s="77">
        <f t="shared" si="1"/>
        <v>2700</v>
      </c>
      <c r="J81" s="77">
        <f t="shared" si="2"/>
        <v>4860</v>
      </c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</row>
    <row r="82" spans="1:37" ht="15.75" customHeight="1" x14ac:dyDescent="0.25">
      <c r="A82" s="25" t="s">
        <v>41</v>
      </c>
      <c r="B82" s="24" t="s">
        <v>22</v>
      </c>
      <c r="C82" s="24">
        <v>3500</v>
      </c>
      <c r="D82" s="23">
        <v>600</v>
      </c>
      <c r="E82" s="23">
        <v>20</v>
      </c>
      <c r="F82" s="91">
        <f>68-20-12-5+71-31-1-1+64-5-1-1</f>
        <v>126</v>
      </c>
      <c r="G82" s="23">
        <f t="shared" si="0"/>
        <v>5.2919999999999998</v>
      </c>
      <c r="H82" s="79">
        <v>135000</v>
      </c>
      <c r="I82" s="77">
        <f t="shared" si="1"/>
        <v>2700</v>
      </c>
      <c r="J82" s="77">
        <f t="shared" si="2"/>
        <v>5670</v>
      </c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</row>
    <row r="83" spans="1:37" ht="15.75" customHeight="1" x14ac:dyDescent="0.25">
      <c r="A83" s="25" t="s">
        <v>41</v>
      </c>
      <c r="B83" s="24" t="s">
        <v>22</v>
      </c>
      <c r="C83" s="23">
        <v>4000</v>
      </c>
      <c r="D83" s="23">
        <v>600</v>
      </c>
      <c r="E83" s="23">
        <v>20</v>
      </c>
      <c r="F83" s="92">
        <v>80</v>
      </c>
      <c r="G83" s="23">
        <f t="shared" si="0"/>
        <v>3.84</v>
      </c>
      <c r="H83" s="79">
        <v>135000</v>
      </c>
      <c r="I83" s="77">
        <f t="shared" si="1"/>
        <v>2700</v>
      </c>
      <c r="J83" s="77">
        <f t="shared" si="2"/>
        <v>6480</v>
      </c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</row>
    <row r="84" spans="1:37" ht="15.75" customHeight="1" x14ac:dyDescent="0.25">
      <c r="A84" s="25" t="s">
        <v>41</v>
      </c>
      <c r="B84" s="24" t="s">
        <v>22</v>
      </c>
      <c r="C84" s="23">
        <v>3000</v>
      </c>
      <c r="D84" s="84">
        <v>800</v>
      </c>
      <c r="E84" s="23">
        <v>20</v>
      </c>
      <c r="F84" s="92">
        <f>40+45-2-3-5-5-2-10+43-6-7-20-15-10-2-6-1-8-1-4-6-3-1</f>
        <v>11</v>
      </c>
      <c r="G84" s="23">
        <f t="shared" si="0"/>
        <v>0.52800000000000002</v>
      </c>
      <c r="H84" s="79">
        <v>135000</v>
      </c>
      <c r="I84" s="77">
        <f t="shared" si="1"/>
        <v>2700</v>
      </c>
      <c r="J84" s="77">
        <f t="shared" si="2"/>
        <v>6480</v>
      </c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</row>
    <row r="85" spans="1:37" ht="15.75" customHeight="1" x14ac:dyDescent="0.25">
      <c r="A85" s="25" t="s">
        <v>41</v>
      </c>
      <c r="B85" s="93" t="s">
        <v>46</v>
      </c>
      <c r="C85" s="24">
        <v>2500</v>
      </c>
      <c r="D85" s="24">
        <v>600</v>
      </c>
      <c r="E85" s="24">
        <v>40</v>
      </c>
      <c r="F85" s="91">
        <f>60-2-6-2-1</f>
        <v>49</v>
      </c>
      <c r="G85" s="23">
        <f t="shared" si="0"/>
        <v>2.94</v>
      </c>
      <c r="H85" s="79">
        <v>130000</v>
      </c>
      <c r="I85" s="77">
        <f t="shared" si="1"/>
        <v>5200</v>
      </c>
      <c r="J85" s="77">
        <f t="shared" si="2"/>
        <v>7800</v>
      </c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</row>
    <row r="86" spans="1:37" ht="15.75" customHeight="1" x14ac:dyDescent="0.25">
      <c r="A86" s="25" t="s">
        <v>41</v>
      </c>
      <c r="B86" s="93" t="s">
        <v>46</v>
      </c>
      <c r="C86" s="24">
        <v>3000</v>
      </c>
      <c r="D86" s="24">
        <v>600</v>
      </c>
      <c r="E86" s="24">
        <v>40</v>
      </c>
      <c r="F86" s="91">
        <f>51+50-2+50-1-1-1-5-1-1-1-5+1-1-6-3</f>
        <v>124</v>
      </c>
      <c r="G86" s="23">
        <f t="shared" si="0"/>
        <v>8.9280000000000008</v>
      </c>
      <c r="H86" s="79">
        <v>130000</v>
      </c>
      <c r="I86" s="77">
        <f t="shared" si="1"/>
        <v>5200</v>
      </c>
      <c r="J86" s="77">
        <f t="shared" si="2"/>
        <v>9360</v>
      </c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</row>
    <row r="87" spans="1:37" ht="15.75" customHeight="1" x14ac:dyDescent="0.25">
      <c r="A87" s="25" t="s">
        <v>41</v>
      </c>
      <c r="B87" s="93" t="s">
        <v>46</v>
      </c>
      <c r="C87" s="24">
        <v>3500</v>
      </c>
      <c r="D87" s="24">
        <v>600</v>
      </c>
      <c r="E87" s="24">
        <v>40</v>
      </c>
      <c r="F87" s="91">
        <f>45-2</f>
        <v>43</v>
      </c>
      <c r="G87" s="23">
        <f t="shared" si="0"/>
        <v>3.6120000000000001</v>
      </c>
      <c r="H87" s="79">
        <v>130000</v>
      </c>
      <c r="I87" s="77">
        <f t="shared" si="1"/>
        <v>5200</v>
      </c>
      <c r="J87" s="77">
        <f t="shared" si="2"/>
        <v>10920</v>
      </c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</row>
    <row r="88" spans="1:37" ht="15.75" customHeight="1" x14ac:dyDescent="0.25">
      <c r="A88" s="72"/>
      <c r="B88" s="72"/>
      <c r="C88" s="72"/>
      <c r="D88" s="72"/>
      <c r="E88" s="72"/>
      <c r="F88" s="72"/>
      <c r="G88" s="72">
        <f>SUM(G8:G87)</f>
        <v>133.50506000000001</v>
      </c>
      <c r="H88" s="94"/>
      <c r="I88" s="95"/>
      <c r="J88" s="94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  <c r="AK88" s="72"/>
    </row>
    <row r="89" spans="1:37" ht="15.75" customHeight="1" x14ac:dyDescent="0.25">
      <c r="A89" s="72"/>
      <c r="B89" s="72"/>
      <c r="C89" s="72"/>
      <c r="D89" s="3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</row>
    <row r="90" spans="1:37" ht="15.75" customHeight="1" x14ac:dyDescent="0.25">
      <c r="A90" s="5" t="s">
        <v>47</v>
      </c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</row>
    <row r="91" spans="1:37" ht="15.75" customHeight="1" x14ac:dyDescent="0.25">
      <c r="A91" s="151" t="s">
        <v>48</v>
      </c>
      <c r="B91" s="141"/>
      <c r="C91" s="141"/>
      <c r="D91" s="141"/>
      <c r="E91" s="141"/>
      <c r="F91" s="141"/>
      <c r="G91" s="141"/>
      <c r="H91" s="141"/>
      <c r="I91" s="141"/>
      <c r="J91" s="141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</row>
    <row r="92" spans="1:37" ht="15.75" customHeight="1" x14ac:dyDescent="0.25">
      <c r="A92" s="141"/>
      <c r="B92" s="141"/>
      <c r="C92" s="141"/>
      <c r="D92" s="141"/>
      <c r="E92" s="141"/>
      <c r="F92" s="141"/>
      <c r="G92" s="141"/>
      <c r="H92" s="141"/>
      <c r="I92" s="141"/>
      <c r="J92" s="141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</row>
    <row r="93" spans="1:37" ht="15.75" customHeight="1" x14ac:dyDescent="0.25">
      <c r="A93" s="72" t="s">
        <v>49</v>
      </c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2"/>
      <c r="AJ93" s="72"/>
      <c r="AK93" s="72"/>
    </row>
    <row r="94" spans="1:37" ht="15.75" customHeight="1" x14ac:dyDescent="0.25">
      <c r="A94" s="72" t="s">
        <v>29</v>
      </c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</row>
    <row r="95" spans="1:37" ht="15.75" customHeight="1" x14ac:dyDescent="0.25">
      <c r="A95" s="72" t="s">
        <v>30</v>
      </c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2"/>
      <c r="AK95" s="72"/>
    </row>
    <row r="96" spans="1:37" ht="15.75" customHeight="1" x14ac:dyDescent="0.25">
      <c r="A96" s="72" t="s">
        <v>31</v>
      </c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</row>
    <row r="97" spans="1:37" ht="15.75" customHeight="1" x14ac:dyDescent="0.25">
      <c r="A97" s="72" t="s">
        <v>32</v>
      </c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</row>
    <row r="98" spans="1:37" ht="15.75" customHeight="1" x14ac:dyDescent="0.25">
      <c r="A98" s="72" t="s">
        <v>33</v>
      </c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</row>
    <row r="99" spans="1:37" ht="15.75" customHeight="1" x14ac:dyDescent="0.25">
      <c r="A99" s="72" t="s">
        <v>34</v>
      </c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72"/>
      <c r="AI99" s="72"/>
      <c r="AJ99" s="72"/>
      <c r="AK99" s="72"/>
    </row>
    <row r="100" spans="1:37" ht="15.75" customHeight="1" x14ac:dyDescent="0.25">
      <c r="A100" s="72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2"/>
      <c r="AJ100" s="72"/>
      <c r="AK100" s="72"/>
    </row>
    <row r="101" spans="1:37" ht="15.75" customHeight="1" x14ac:dyDescent="0.25"/>
    <row r="102" spans="1:37" ht="15.75" customHeight="1" x14ac:dyDescent="0.25"/>
    <row r="103" spans="1:37" ht="15.75" customHeight="1" x14ac:dyDescent="0.25"/>
    <row r="104" spans="1:37" ht="15.75" customHeight="1" x14ac:dyDescent="0.25"/>
    <row r="105" spans="1:37" ht="15.75" customHeight="1" x14ac:dyDescent="0.25"/>
    <row r="106" spans="1:37" ht="15.75" customHeight="1" x14ac:dyDescent="0.25"/>
    <row r="107" spans="1:37" ht="15.75" customHeight="1" x14ac:dyDescent="0.25"/>
    <row r="108" spans="1:37" ht="15.75" customHeight="1" x14ac:dyDescent="0.25"/>
    <row r="109" spans="1:37" ht="15.75" customHeight="1" x14ac:dyDescent="0.25"/>
    <row r="110" spans="1:37" ht="15.75" customHeight="1" x14ac:dyDescent="0.25"/>
    <row r="111" spans="1:37" ht="15.75" customHeight="1" x14ac:dyDescent="0.25"/>
    <row r="112" spans="1:37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</sheetData>
  <mergeCells count="2">
    <mergeCell ref="A4:J6"/>
    <mergeCell ref="A91:J9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3:J28"/>
  <sheetViews>
    <sheetView workbookViewId="0">
      <selection activeCell="N7" sqref="N7"/>
    </sheetView>
  </sheetViews>
  <sheetFormatPr defaultColWidth="14.42578125" defaultRowHeight="15" customHeight="1" x14ac:dyDescent="0.25"/>
  <cols>
    <col min="2" max="2" width="29.140625" customWidth="1"/>
    <col min="3" max="3" width="12.85546875" customWidth="1"/>
    <col min="4" max="4" width="11.140625" customWidth="1"/>
    <col min="5" max="5" width="12.28515625" customWidth="1"/>
    <col min="6" max="6" width="9.140625" customWidth="1"/>
    <col min="7" max="7" width="10" customWidth="1"/>
  </cols>
  <sheetData>
    <row r="3" spans="1:10" ht="15.75" x14ac:dyDescent="0.25">
      <c r="A3" s="2" t="s">
        <v>1</v>
      </c>
      <c r="B3" s="4"/>
      <c r="C3" s="4"/>
      <c r="D3" s="4"/>
      <c r="E3" s="4"/>
      <c r="F3" s="4"/>
      <c r="G3" s="4"/>
      <c r="H3" s="4"/>
      <c r="I3" s="4"/>
      <c r="J3" s="4"/>
    </row>
    <row r="4" spans="1:10" ht="15.75" thickBot="1" x14ac:dyDescent="0.3">
      <c r="A4" s="96" t="s">
        <v>50</v>
      </c>
      <c r="B4" s="6"/>
      <c r="C4" s="6"/>
      <c r="D4" s="6"/>
      <c r="E4" s="6"/>
      <c r="F4" s="6"/>
      <c r="G4" s="6"/>
      <c r="H4" s="6"/>
      <c r="I4" s="6"/>
      <c r="J4" s="6"/>
    </row>
    <row r="5" spans="1:10" ht="18" customHeight="1" x14ac:dyDescent="0.25">
      <c r="A5" s="138" t="s">
        <v>51</v>
      </c>
      <c r="B5" s="139"/>
      <c r="C5" s="139"/>
      <c r="D5" s="139"/>
      <c r="E5" s="139"/>
      <c r="F5" s="139"/>
      <c r="G5" s="139"/>
      <c r="H5" s="139"/>
      <c r="I5" s="139"/>
      <c r="J5" s="140"/>
    </row>
    <row r="6" spans="1:10" ht="157.5" customHeight="1" x14ac:dyDescent="0.25">
      <c r="A6" s="141"/>
      <c r="B6" s="141"/>
      <c r="C6" s="141"/>
      <c r="D6" s="141"/>
      <c r="E6" s="141"/>
      <c r="F6" s="141"/>
      <c r="G6" s="141"/>
      <c r="H6" s="141"/>
      <c r="I6" s="141"/>
      <c r="J6" s="142"/>
    </row>
    <row r="7" spans="1:10" x14ac:dyDescent="0.25">
      <c r="A7" s="9" t="s">
        <v>4</v>
      </c>
      <c r="B7" s="9" t="s">
        <v>5</v>
      </c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10" t="s">
        <v>11</v>
      </c>
      <c r="I7" s="10" t="s">
        <v>12</v>
      </c>
      <c r="J7" s="10" t="s">
        <v>13</v>
      </c>
    </row>
    <row r="8" spans="1:10" x14ac:dyDescent="0.25">
      <c r="A8" s="12" t="s">
        <v>14</v>
      </c>
      <c r="B8" s="13" t="s">
        <v>15</v>
      </c>
      <c r="C8" s="13">
        <v>900</v>
      </c>
      <c r="D8" s="13">
        <v>600</v>
      </c>
      <c r="E8" s="13">
        <v>18</v>
      </c>
      <c r="F8" s="13">
        <f>5-1</f>
        <v>4</v>
      </c>
      <c r="G8" s="12">
        <f t="shared" ref="G8:G27" si="0">E8*D8*C8*F8/1000/1000/1000</f>
        <v>3.8880000000000005E-2</v>
      </c>
      <c r="H8" s="46">
        <v>240000</v>
      </c>
      <c r="I8" s="10">
        <f t="shared" ref="I8:I27" si="1">H8/1000*E8</f>
        <v>4320</v>
      </c>
      <c r="J8" s="10">
        <f t="shared" ref="J8:J27" si="2">E8*D8*C8*H8/1000/1000/1000</f>
        <v>2332.8000000000002</v>
      </c>
    </row>
    <row r="9" spans="1:10" x14ac:dyDescent="0.25">
      <c r="A9" s="12" t="s">
        <v>14</v>
      </c>
      <c r="B9" s="13" t="s">
        <v>15</v>
      </c>
      <c r="C9" s="13">
        <v>1000</v>
      </c>
      <c r="D9" s="13">
        <v>600</v>
      </c>
      <c r="E9" s="13">
        <v>18</v>
      </c>
      <c r="F9" s="13">
        <f>8+30+13</f>
        <v>51</v>
      </c>
      <c r="G9" s="12">
        <f t="shared" si="0"/>
        <v>0.55079999999999996</v>
      </c>
      <c r="H9" s="46">
        <v>240000</v>
      </c>
      <c r="I9" s="10">
        <f t="shared" si="1"/>
        <v>4320</v>
      </c>
      <c r="J9" s="10">
        <f t="shared" si="2"/>
        <v>2592</v>
      </c>
    </row>
    <row r="10" spans="1:10" x14ac:dyDescent="0.25">
      <c r="A10" s="12" t="s">
        <v>14</v>
      </c>
      <c r="B10" s="13" t="s">
        <v>15</v>
      </c>
      <c r="C10" s="13">
        <v>1100</v>
      </c>
      <c r="D10" s="13">
        <v>600</v>
      </c>
      <c r="E10" s="13">
        <v>18</v>
      </c>
      <c r="F10" s="13">
        <f>7+37+2</f>
        <v>46</v>
      </c>
      <c r="G10" s="12">
        <f t="shared" si="0"/>
        <v>0.54647999999999997</v>
      </c>
      <c r="H10" s="46">
        <v>240000</v>
      </c>
      <c r="I10" s="10">
        <f t="shared" si="1"/>
        <v>4320</v>
      </c>
      <c r="J10" s="10">
        <f t="shared" si="2"/>
        <v>2851.2</v>
      </c>
    </row>
    <row r="11" spans="1:10" x14ac:dyDescent="0.25">
      <c r="A11" s="12" t="s">
        <v>14</v>
      </c>
      <c r="B11" s="13" t="s">
        <v>15</v>
      </c>
      <c r="C11" s="13">
        <v>1200</v>
      </c>
      <c r="D11" s="13">
        <v>600</v>
      </c>
      <c r="E11" s="13">
        <v>18</v>
      </c>
      <c r="F11" s="13">
        <f>5+25+6-10-1</f>
        <v>25</v>
      </c>
      <c r="G11" s="12">
        <f t="shared" si="0"/>
        <v>0.32400000000000001</v>
      </c>
      <c r="H11" s="46">
        <v>240000</v>
      </c>
      <c r="I11" s="10">
        <f t="shared" si="1"/>
        <v>4320</v>
      </c>
      <c r="J11" s="10">
        <f t="shared" si="2"/>
        <v>3110.4</v>
      </c>
    </row>
    <row r="12" spans="1:10" x14ac:dyDescent="0.25">
      <c r="A12" s="12" t="s">
        <v>14</v>
      </c>
      <c r="B12" s="13" t="s">
        <v>15</v>
      </c>
      <c r="C12" s="13">
        <v>1300</v>
      </c>
      <c r="D12" s="13">
        <v>600</v>
      </c>
      <c r="E12" s="13">
        <v>18</v>
      </c>
      <c r="F12" s="13">
        <f>10+26+1</f>
        <v>37</v>
      </c>
      <c r="G12" s="12">
        <f t="shared" si="0"/>
        <v>0.51948000000000005</v>
      </c>
      <c r="H12" s="46">
        <v>240000</v>
      </c>
      <c r="I12" s="10">
        <f t="shared" si="1"/>
        <v>4320</v>
      </c>
      <c r="J12" s="10">
        <f t="shared" si="2"/>
        <v>3369.6</v>
      </c>
    </row>
    <row r="13" spans="1:10" x14ac:dyDescent="0.25">
      <c r="A13" s="12" t="s">
        <v>14</v>
      </c>
      <c r="B13" s="13" t="s">
        <v>15</v>
      </c>
      <c r="C13" s="13">
        <v>1400</v>
      </c>
      <c r="D13" s="13">
        <v>600</v>
      </c>
      <c r="E13" s="13">
        <v>18</v>
      </c>
      <c r="F13" s="13">
        <f>3+27</f>
        <v>30</v>
      </c>
      <c r="G13" s="12">
        <f t="shared" si="0"/>
        <v>0.4536</v>
      </c>
      <c r="H13" s="46">
        <v>240000</v>
      </c>
      <c r="I13" s="10">
        <f t="shared" si="1"/>
        <v>4320</v>
      </c>
      <c r="J13" s="10">
        <f t="shared" si="2"/>
        <v>3628.8</v>
      </c>
    </row>
    <row r="14" spans="1:10" x14ac:dyDescent="0.25">
      <c r="A14" s="12" t="s">
        <v>14</v>
      </c>
      <c r="B14" s="13" t="s">
        <v>15</v>
      </c>
      <c r="C14" s="13">
        <v>1500</v>
      </c>
      <c r="D14" s="13">
        <v>600</v>
      </c>
      <c r="E14" s="13">
        <v>18</v>
      </c>
      <c r="F14" s="13">
        <f>6+7</f>
        <v>13</v>
      </c>
      <c r="G14" s="12">
        <f t="shared" si="0"/>
        <v>0.21059999999999998</v>
      </c>
      <c r="H14" s="46">
        <v>240000</v>
      </c>
      <c r="I14" s="10">
        <f t="shared" si="1"/>
        <v>4320</v>
      </c>
      <c r="J14" s="10">
        <f t="shared" si="2"/>
        <v>3888</v>
      </c>
    </row>
    <row r="15" spans="1:10" x14ac:dyDescent="0.25">
      <c r="A15" s="12" t="s">
        <v>14</v>
      </c>
      <c r="B15" s="13" t="s">
        <v>15</v>
      </c>
      <c r="C15" s="13">
        <v>1600</v>
      </c>
      <c r="D15" s="13">
        <v>600</v>
      </c>
      <c r="E15" s="13">
        <v>18</v>
      </c>
      <c r="F15" s="13">
        <v>2</v>
      </c>
      <c r="G15" s="12">
        <f t="shared" si="0"/>
        <v>3.456E-2</v>
      </c>
      <c r="H15" s="46">
        <v>265000</v>
      </c>
      <c r="I15" s="10">
        <f t="shared" si="1"/>
        <v>4770</v>
      </c>
      <c r="J15" s="10">
        <f t="shared" si="2"/>
        <v>4579.2</v>
      </c>
    </row>
    <row r="16" spans="1:10" x14ac:dyDescent="0.25">
      <c r="A16" s="12" t="s">
        <v>14</v>
      </c>
      <c r="B16" s="13" t="s">
        <v>15</v>
      </c>
      <c r="C16" s="13">
        <v>1700</v>
      </c>
      <c r="D16" s="13">
        <v>600</v>
      </c>
      <c r="E16" s="13">
        <v>18</v>
      </c>
      <c r="F16" s="13">
        <f>2+3</f>
        <v>5</v>
      </c>
      <c r="G16" s="12">
        <f t="shared" si="0"/>
        <v>9.1799999999999993E-2</v>
      </c>
      <c r="H16" s="46">
        <v>265000</v>
      </c>
      <c r="I16" s="10">
        <f t="shared" si="1"/>
        <v>4770</v>
      </c>
      <c r="J16" s="10">
        <f t="shared" si="2"/>
        <v>4865.3999999999996</v>
      </c>
    </row>
    <row r="17" spans="1:10" x14ac:dyDescent="0.25">
      <c r="A17" s="12" t="s">
        <v>14</v>
      </c>
      <c r="B17" s="13" t="s">
        <v>15</v>
      </c>
      <c r="C17" s="13">
        <v>1800</v>
      </c>
      <c r="D17" s="13">
        <v>600</v>
      </c>
      <c r="E17" s="13">
        <v>18</v>
      </c>
      <c r="F17" s="13">
        <v>2</v>
      </c>
      <c r="G17" s="12">
        <f t="shared" si="0"/>
        <v>3.8880000000000005E-2</v>
      </c>
      <c r="H17" s="46">
        <v>265000</v>
      </c>
      <c r="I17" s="10">
        <f t="shared" si="1"/>
        <v>4770</v>
      </c>
      <c r="J17" s="10">
        <f t="shared" si="2"/>
        <v>5151.6000000000004</v>
      </c>
    </row>
    <row r="18" spans="1:10" x14ac:dyDescent="0.25">
      <c r="A18" s="12" t="s">
        <v>14</v>
      </c>
      <c r="B18" s="13" t="s">
        <v>15</v>
      </c>
      <c r="C18" s="13">
        <v>900</v>
      </c>
      <c r="D18" s="13">
        <v>600</v>
      </c>
      <c r="E18" s="13">
        <v>20</v>
      </c>
      <c r="F18" s="13">
        <v>1</v>
      </c>
      <c r="G18" s="12">
        <f t="shared" si="0"/>
        <v>1.0800000000000001E-2</v>
      </c>
      <c r="H18" s="46">
        <v>240000</v>
      </c>
      <c r="I18" s="10">
        <f t="shared" si="1"/>
        <v>4800</v>
      </c>
      <c r="J18" s="10">
        <f t="shared" si="2"/>
        <v>2592</v>
      </c>
    </row>
    <row r="19" spans="1:10" x14ac:dyDescent="0.25">
      <c r="A19" s="12" t="s">
        <v>14</v>
      </c>
      <c r="B19" s="13" t="s">
        <v>15</v>
      </c>
      <c r="C19" s="13">
        <v>1000</v>
      </c>
      <c r="D19" s="13">
        <v>600</v>
      </c>
      <c r="E19" s="13">
        <v>20</v>
      </c>
      <c r="F19" s="13">
        <v>1</v>
      </c>
      <c r="G19" s="12">
        <f t="shared" si="0"/>
        <v>1.2E-2</v>
      </c>
      <c r="H19" s="46">
        <v>240000</v>
      </c>
      <c r="I19" s="10">
        <f t="shared" si="1"/>
        <v>4800</v>
      </c>
      <c r="J19" s="10">
        <f t="shared" si="2"/>
        <v>2880</v>
      </c>
    </row>
    <row r="20" spans="1:10" x14ac:dyDescent="0.25">
      <c r="A20" s="12" t="s">
        <v>14</v>
      </c>
      <c r="B20" s="13" t="s">
        <v>15</v>
      </c>
      <c r="C20" s="13">
        <v>1400</v>
      </c>
      <c r="D20" s="13">
        <v>600</v>
      </c>
      <c r="E20" s="13">
        <v>20</v>
      </c>
      <c r="F20" s="13">
        <v>2</v>
      </c>
      <c r="G20" s="12">
        <f t="shared" si="0"/>
        <v>3.3600000000000005E-2</v>
      </c>
      <c r="H20" s="46">
        <v>240000</v>
      </c>
      <c r="I20" s="10">
        <f t="shared" si="1"/>
        <v>4800</v>
      </c>
      <c r="J20" s="10">
        <f t="shared" si="2"/>
        <v>4032</v>
      </c>
    </row>
    <row r="21" spans="1:10" x14ac:dyDescent="0.25">
      <c r="A21" s="12" t="s">
        <v>14</v>
      </c>
      <c r="B21" s="13" t="s">
        <v>15</v>
      </c>
      <c r="C21" s="13">
        <v>900</v>
      </c>
      <c r="D21" s="13">
        <v>300</v>
      </c>
      <c r="E21" s="13">
        <v>40</v>
      </c>
      <c r="F21" s="13">
        <f>22+9-4+1-8-3</f>
        <v>17</v>
      </c>
      <c r="G21" s="12">
        <f t="shared" si="0"/>
        <v>0.18359999999999999</v>
      </c>
      <c r="H21" s="46">
        <v>225000</v>
      </c>
      <c r="I21" s="10">
        <f t="shared" si="1"/>
        <v>9000</v>
      </c>
      <c r="J21" s="10">
        <f t="shared" si="2"/>
        <v>2430</v>
      </c>
    </row>
    <row r="22" spans="1:10" x14ac:dyDescent="0.25">
      <c r="A22" s="12" t="s">
        <v>14</v>
      </c>
      <c r="B22" s="13" t="s">
        <v>15</v>
      </c>
      <c r="C22" s="13">
        <v>1000</v>
      </c>
      <c r="D22" s="13">
        <v>300</v>
      </c>
      <c r="E22" s="13">
        <v>40</v>
      </c>
      <c r="F22" s="13">
        <f>28+76-8-9+67-53-1-50-35</f>
        <v>15</v>
      </c>
      <c r="G22" s="12">
        <f t="shared" si="0"/>
        <v>0.18</v>
      </c>
      <c r="H22" s="46">
        <v>225000</v>
      </c>
      <c r="I22" s="10">
        <f t="shared" si="1"/>
        <v>9000</v>
      </c>
      <c r="J22" s="10">
        <f t="shared" si="2"/>
        <v>2700</v>
      </c>
    </row>
    <row r="23" spans="1:10" x14ac:dyDescent="0.25">
      <c r="A23" s="12" t="s">
        <v>14</v>
      </c>
      <c r="B23" s="13" t="s">
        <v>15</v>
      </c>
      <c r="C23" s="97">
        <v>1100</v>
      </c>
      <c r="D23" s="13">
        <v>300</v>
      </c>
      <c r="E23" s="13">
        <v>40</v>
      </c>
      <c r="F23" s="97">
        <f>34+38-6-1-10-2-2-50</f>
        <v>1</v>
      </c>
      <c r="G23" s="12">
        <f t="shared" si="0"/>
        <v>1.32E-2</v>
      </c>
      <c r="H23" s="46">
        <v>225000</v>
      </c>
      <c r="I23" s="10">
        <f t="shared" si="1"/>
        <v>9000</v>
      </c>
      <c r="J23" s="10">
        <f t="shared" si="2"/>
        <v>2970</v>
      </c>
    </row>
    <row r="24" spans="1:10" x14ac:dyDescent="0.25">
      <c r="A24" s="12" t="s">
        <v>14</v>
      </c>
      <c r="B24" s="13" t="s">
        <v>15</v>
      </c>
      <c r="C24" s="97">
        <v>1400</v>
      </c>
      <c r="D24" s="13">
        <v>300</v>
      </c>
      <c r="E24" s="13">
        <v>40</v>
      </c>
      <c r="F24" s="97">
        <f>2-1</f>
        <v>1</v>
      </c>
      <c r="G24" s="12">
        <f t="shared" si="0"/>
        <v>1.6800000000000002E-2</v>
      </c>
      <c r="H24" s="46">
        <v>225000</v>
      </c>
      <c r="I24" s="10">
        <f t="shared" si="1"/>
        <v>9000</v>
      </c>
      <c r="J24" s="10">
        <f t="shared" si="2"/>
        <v>3780</v>
      </c>
    </row>
    <row r="25" spans="1:10" x14ac:dyDescent="0.25">
      <c r="A25" s="12" t="s">
        <v>14</v>
      </c>
      <c r="B25" s="13" t="s">
        <v>15</v>
      </c>
      <c r="C25" s="97">
        <v>1000</v>
      </c>
      <c r="D25" s="97">
        <v>600</v>
      </c>
      <c r="E25" s="13">
        <v>40</v>
      </c>
      <c r="F25" s="97">
        <f>4+23-2-1-1-20-2</f>
        <v>1</v>
      </c>
      <c r="G25" s="12">
        <f t="shared" si="0"/>
        <v>2.4E-2</v>
      </c>
      <c r="H25" s="46">
        <v>225000</v>
      </c>
      <c r="I25" s="10">
        <f t="shared" si="1"/>
        <v>9000</v>
      </c>
      <c r="J25" s="10">
        <f t="shared" si="2"/>
        <v>5400</v>
      </c>
    </row>
    <row r="26" spans="1:10" x14ac:dyDescent="0.25">
      <c r="A26" s="12" t="s">
        <v>14</v>
      </c>
      <c r="B26" s="97" t="s">
        <v>52</v>
      </c>
      <c r="C26" s="97">
        <v>3000</v>
      </c>
      <c r="D26" s="97">
        <v>600</v>
      </c>
      <c r="E26" s="13">
        <v>20</v>
      </c>
      <c r="F26" s="97">
        <v>43</v>
      </c>
      <c r="G26" s="12">
        <f t="shared" si="0"/>
        <v>1.548</v>
      </c>
      <c r="H26" s="46">
        <v>160000</v>
      </c>
      <c r="I26" s="10">
        <f t="shared" si="1"/>
        <v>3200</v>
      </c>
      <c r="J26" s="10">
        <f t="shared" si="2"/>
        <v>5760</v>
      </c>
    </row>
    <row r="27" spans="1:10" x14ac:dyDescent="0.25">
      <c r="A27" s="12" t="s">
        <v>14</v>
      </c>
      <c r="B27" s="97" t="s">
        <v>52</v>
      </c>
      <c r="C27" s="97">
        <v>3600</v>
      </c>
      <c r="D27" s="97">
        <v>600</v>
      </c>
      <c r="E27" s="13">
        <v>20</v>
      </c>
      <c r="F27" s="97">
        <v>7</v>
      </c>
      <c r="G27" s="12">
        <f t="shared" si="0"/>
        <v>0.3024</v>
      </c>
      <c r="H27" s="46">
        <v>160000</v>
      </c>
      <c r="I27" s="10">
        <f t="shared" si="1"/>
        <v>3200</v>
      </c>
      <c r="J27" s="10">
        <f t="shared" si="2"/>
        <v>6912</v>
      </c>
    </row>
    <row r="28" spans="1:10" x14ac:dyDescent="0.25">
      <c r="G28" s="98">
        <f>SUM(G8:G27)</f>
        <v>5.1334799999999987</v>
      </c>
    </row>
  </sheetData>
  <mergeCells count="1">
    <mergeCell ref="A5:J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V48"/>
  <sheetViews>
    <sheetView workbookViewId="0">
      <selection activeCell="L7" sqref="L7"/>
    </sheetView>
  </sheetViews>
  <sheetFormatPr defaultColWidth="14.42578125" defaultRowHeight="15" customHeight="1" x14ac:dyDescent="0.25"/>
  <cols>
    <col min="2" max="2" width="34.7109375" customWidth="1"/>
    <col min="3" max="3" width="18" customWidth="1"/>
    <col min="4" max="4" width="11.140625" customWidth="1"/>
    <col min="5" max="5" width="11.5703125" customWidth="1"/>
    <col min="6" max="6" width="9.5703125" customWidth="1"/>
    <col min="7" max="7" width="8.85546875" customWidth="1"/>
  </cols>
  <sheetData>
    <row r="2" spans="1:22" ht="15.75" x14ac:dyDescent="0.25">
      <c r="A2" s="71"/>
      <c r="B2" s="72"/>
      <c r="C2" s="72"/>
      <c r="D2" s="72"/>
      <c r="E2" s="72"/>
      <c r="F2" s="72"/>
      <c r="G2" s="72"/>
      <c r="H2" s="72"/>
      <c r="I2" s="72"/>
      <c r="J2" s="72"/>
    </row>
    <row r="3" spans="1:22" ht="15.75" x14ac:dyDescent="0.25">
      <c r="A3" s="71" t="s">
        <v>35</v>
      </c>
      <c r="B3" s="72"/>
      <c r="C3" s="72"/>
      <c r="D3" s="72"/>
      <c r="E3" s="72"/>
      <c r="F3" s="72"/>
      <c r="G3" s="72"/>
      <c r="H3" s="72"/>
      <c r="I3" s="72"/>
      <c r="J3" s="72"/>
    </row>
    <row r="4" spans="1:22" x14ac:dyDescent="0.25">
      <c r="A4" s="99" t="s">
        <v>53</v>
      </c>
      <c r="B4" s="73"/>
      <c r="C4" s="72"/>
      <c r="D4" s="72"/>
      <c r="E4" s="72"/>
      <c r="F4" s="72"/>
      <c r="G4" s="72"/>
      <c r="H4" s="72"/>
      <c r="I4" s="72"/>
      <c r="J4" s="72"/>
    </row>
    <row r="5" spans="1:22" ht="48" customHeight="1" x14ac:dyDescent="0.25">
      <c r="A5" s="143" t="s">
        <v>54</v>
      </c>
      <c r="B5" s="144"/>
      <c r="C5" s="144"/>
      <c r="D5" s="144"/>
      <c r="E5" s="144"/>
      <c r="F5" s="144"/>
      <c r="G5" s="144"/>
      <c r="H5" s="144"/>
      <c r="I5" s="144"/>
      <c r="J5" s="145"/>
    </row>
    <row r="6" spans="1:22" ht="47.25" customHeight="1" x14ac:dyDescent="0.25">
      <c r="A6" s="146"/>
      <c r="B6" s="141"/>
      <c r="C6" s="141"/>
      <c r="D6" s="141"/>
      <c r="E6" s="141"/>
      <c r="F6" s="141"/>
      <c r="G6" s="141"/>
      <c r="H6" s="141"/>
      <c r="I6" s="141"/>
      <c r="J6" s="147"/>
    </row>
    <row r="7" spans="1:22" ht="100.5" customHeight="1" x14ac:dyDescent="0.25">
      <c r="A7" s="148"/>
      <c r="B7" s="149"/>
      <c r="C7" s="149"/>
      <c r="D7" s="149"/>
      <c r="E7" s="149"/>
      <c r="F7" s="149"/>
      <c r="G7" s="149"/>
      <c r="H7" s="149"/>
      <c r="I7" s="149"/>
      <c r="J7" s="150"/>
    </row>
    <row r="8" spans="1:22" ht="57.75" customHeight="1" x14ac:dyDescent="0.25">
      <c r="A8" s="75"/>
      <c r="B8" s="76" t="s">
        <v>5</v>
      </c>
      <c r="C8" s="76" t="s">
        <v>6</v>
      </c>
      <c r="D8" s="76" t="s">
        <v>7</v>
      </c>
      <c r="E8" s="76" t="s">
        <v>8</v>
      </c>
      <c r="F8" s="76" t="s">
        <v>9</v>
      </c>
      <c r="G8" s="76" t="s">
        <v>10</v>
      </c>
      <c r="H8" s="77" t="s">
        <v>38</v>
      </c>
      <c r="I8" s="77" t="s">
        <v>39</v>
      </c>
      <c r="J8" s="77" t="s">
        <v>40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25" t="s">
        <v>41</v>
      </c>
      <c r="B9" s="24" t="s">
        <v>15</v>
      </c>
      <c r="C9" s="24">
        <v>900</v>
      </c>
      <c r="D9" s="24">
        <v>600</v>
      </c>
      <c r="E9" s="24">
        <v>18</v>
      </c>
      <c r="F9" s="24">
        <v>3</v>
      </c>
      <c r="G9" s="23">
        <f t="shared" ref="G9:G38" si="0">F9*E9*D9*C9/1000/1000/1000</f>
        <v>2.9159999999999998E-2</v>
      </c>
      <c r="H9" s="79">
        <v>183000</v>
      </c>
      <c r="I9" s="77">
        <f t="shared" ref="I9:I38" si="1">H9/1000*E9</f>
        <v>3294</v>
      </c>
      <c r="J9" s="77">
        <f t="shared" ref="J9:J38" si="2">E9*D9*C9*H9/1000/1000/1000</f>
        <v>1778.76</v>
      </c>
    </row>
    <row r="10" spans="1:22" x14ac:dyDescent="0.25">
      <c r="A10" s="25" t="s">
        <v>41</v>
      </c>
      <c r="B10" s="24" t="s">
        <v>15</v>
      </c>
      <c r="C10" s="24">
        <v>1300</v>
      </c>
      <c r="D10" s="24">
        <v>600</v>
      </c>
      <c r="E10" s="24">
        <v>18</v>
      </c>
      <c r="F10" s="24">
        <f>34-30+10-1-1-1-9</f>
        <v>2</v>
      </c>
      <c r="G10" s="23">
        <f t="shared" si="0"/>
        <v>2.8079999999999997E-2</v>
      </c>
      <c r="H10" s="79">
        <v>183000</v>
      </c>
      <c r="I10" s="77">
        <f t="shared" si="1"/>
        <v>3294</v>
      </c>
      <c r="J10" s="77">
        <f t="shared" si="2"/>
        <v>2569.3200000000002</v>
      </c>
    </row>
    <row r="11" spans="1:22" x14ac:dyDescent="0.25">
      <c r="A11" s="25" t="s">
        <v>41</v>
      </c>
      <c r="B11" s="24" t="s">
        <v>15</v>
      </c>
      <c r="C11" s="24">
        <v>1400</v>
      </c>
      <c r="D11" s="24">
        <v>600</v>
      </c>
      <c r="E11" s="24">
        <v>18</v>
      </c>
      <c r="F11" s="24">
        <v>33</v>
      </c>
      <c r="G11" s="23">
        <f t="shared" si="0"/>
        <v>0.49895999999999996</v>
      </c>
      <c r="H11" s="79">
        <v>183000</v>
      </c>
      <c r="I11" s="77">
        <f t="shared" si="1"/>
        <v>3294</v>
      </c>
      <c r="J11" s="77">
        <f t="shared" si="2"/>
        <v>2766.96</v>
      </c>
    </row>
    <row r="12" spans="1:22" x14ac:dyDescent="0.25">
      <c r="A12" s="25" t="s">
        <v>41</v>
      </c>
      <c r="B12" s="24" t="s">
        <v>15</v>
      </c>
      <c r="C12" s="24">
        <v>1500</v>
      </c>
      <c r="D12" s="24">
        <v>600</v>
      </c>
      <c r="E12" s="24">
        <v>18</v>
      </c>
      <c r="F12" s="24">
        <f>7-5+34-2-2-1</f>
        <v>31</v>
      </c>
      <c r="G12" s="23">
        <f t="shared" si="0"/>
        <v>0.50219999999999998</v>
      </c>
      <c r="H12" s="79">
        <v>183000</v>
      </c>
      <c r="I12" s="77">
        <f t="shared" si="1"/>
        <v>3294</v>
      </c>
      <c r="J12" s="77">
        <f t="shared" si="2"/>
        <v>2964.6</v>
      </c>
    </row>
    <row r="13" spans="1:22" x14ac:dyDescent="0.25">
      <c r="A13" s="25" t="s">
        <v>41</v>
      </c>
      <c r="B13" s="24" t="s">
        <v>15</v>
      </c>
      <c r="C13" s="24">
        <v>1600</v>
      </c>
      <c r="D13" s="24">
        <v>600</v>
      </c>
      <c r="E13" s="24">
        <v>18</v>
      </c>
      <c r="F13" s="24">
        <f>9+14-20-1+15-2-1</f>
        <v>14</v>
      </c>
      <c r="G13" s="23">
        <f t="shared" si="0"/>
        <v>0.24192</v>
      </c>
      <c r="H13" s="79">
        <v>200000</v>
      </c>
      <c r="I13" s="77">
        <f t="shared" si="1"/>
        <v>3600</v>
      </c>
      <c r="J13" s="77">
        <f t="shared" si="2"/>
        <v>3456</v>
      </c>
    </row>
    <row r="14" spans="1:22" x14ac:dyDescent="0.25">
      <c r="A14" s="25" t="s">
        <v>41</v>
      </c>
      <c r="B14" s="24" t="s">
        <v>15</v>
      </c>
      <c r="C14" s="24">
        <v>1700</v>
      </c>
      <c r="D14" s="24">
        <v>600</v>
      </c>
      <c r="E14" s="24">
        <v>18</v>
      </c>
      <c r="F14" s="24">
        <f>12-2-9</f>
        <v>1</v>
      </c>
      <c r="G14" s="23">
        <f t="shared" si="0"/>
        <v>1.8359999999999998E-2</v>
      </c>
      <c r="H14" s="79">
        <v>200000</v>
      </c>
      <c r="I14" s="77">
        <f t="shared" si="1"/>
        <v>3600</v>
      </c>
      <c r="J14" s="77">
        <f t="shared" si="2"/>
        <v>3672</v>
      </c>
    </row>
    <row r="15" spans="1:22" x14ac:dyDescent="0.25">
      <c r="A15" s="25" t="s">
        <v>41</v>
      </c>
      <c r="B15" s="24" t="s">
        <v>15</v>
      </c>
      <c r="C15" s="24">
        <v>1800</v>
      </c>
      <c r="D15" s="24">
        <v>600</v>
      </c>
      <c r="E15" s="24">
        <v>18</v>
      </c>
      <c r="F15" s="24">
        <v>3</v>
      </c>
      <c r="G15" s="23">
        <f t="shared" si="0"/>
        <v>5.8319999999999997E-2</v>
      </c>
      <c r="H15" s="79">
        <v>200000</v>
      </c>
      <c r="I15" s="77">
        <f t="shared" si="1"/>
        <v>3600</v>
      </c>
      <c r="J15" s="77">
        <f t="shared" si="2"/>
        <v>3888</v>
      </c>
    </row>
    <row r="16" spans="1:22" x14ac:dyDescent="0.25">
      <c r="A16" s="25" t="s">
        <v>41</v>
      </c>
      <c r="B16" s="24" t="s">
        <v>15</v>
      </c>
      <c r="C16" s="24">
        <v>2100</v>
      </c>
      <c r="D16" s="24">
        <v>600</v>
      </c>
      <c r="E16" s="24">
        <v>18</v>
      </c>
      <c r="F16" s="24">
        <f t="shared" ref="F16:F17" si="3">2-1</f>
        <v>1</v>
      </c>
      <c r="G16" s="23">
        <f t="shared" si="0"/>
        <v>2.2679999999999999E-2</v>
      </c>
      <c r="H16" s="79">
        <v>200000</v>
      </c>
      <c r="I16" s="77">
        <f t="shared" si="1"/>
        <v>3600</v>
      </c>
      <c r="J16" s="77">
        <f t="shared" si="2"/>
        <v>4536</v>
      </c>
    </row>
    <row r="17" spans="1:22" x14ac:dyDescent="0.25">
      <c r="A17" s="25" t="s">
        <v>41</v>
      </c>
      <c r="B17" s="24" t="s">
        <v>15</v>
      </c>
      <c r="C17" s="24">
        <v>2200</v>
      </c>
      <c r="D17" s="24">
        <v>600</v>
      </c>
      <c r="E17" s="24">
        <v>18</v>
      </c>
      <c r="F17" s="24">
        <f t="shared" si="3"/>
        <v>1</v>
      </c>
      <c r="G17" s="23">
        <f t="shared" si="0"/>
        <v>2.376E-2</v>
      </c>
      <c r="H17" s="79">
        <v>215000</v>
      </c>
      <c r="I17" s="77">
        <f t="shared" si="1"/>
        <v>3870</v>
      </c>
      <c r="J17" s="77">
        <f t="shared" si="2"/>
        <v>5108.3999999999996</v>
      </c>
    </row>
    <row r="18" spans="1:22" x14ac:dyDescent="0.25">
      <c r="A18" s="25" t="s">
        <v>41</v>
      </c>
      <c r="B18" s="24" t="s">
        <v>15</v>
      </c>
      <c r="C18" s="24">
        <v>2300</v>
      </c>
      <c r="D18" s="24">
        <v>600</v>
      </c>
      <c r="E18" s="24">
        <v>18</v>
      </c>
      <c r="F18" s="24">
        <f>10-1-4</f>
        <v>5</v>
      </c>
      <c r="G18" s="23">
        <f t="shared" si="0"/>
        <v>0.1242</v>
      </c>
      <c r="H18" s="79">
        <v>215000</v>
      </c>
      <c r="I18" s="77">
        <f t="shared" si="1"/>
        <v>3870</v>
      </c>
      <c r="J18" s="77">
        <f t="shared" si="2"/>
        <v>5340.6</v>
      </c>
    </row>
    <row r="19" spans="1:22" x14ac:dyDescent="0.25">
      <c r="A19" s="25" t="s">
        <v>41</v>
      </c>
      <c r="B19" s="24" t="s">
        <v>15</v>
      </c>
      <c r="C19" s="24">
        <v>2400</v>
      </c>
      <c r="D19" s="24">
        <v>600</v>
      </c>
      <c r="E19" s="24">
        <v>18</v>
      </c>
      <c r="F19" s="24">
        <f>8-1-5</f>
        <v>2</v>
      </c>
      <c r="G19" s="23">
        <f t="shared" si="0"/>
        <v>5.1840000000000004E-2</v>
      </c>
      <c r="H19" s="79">
        <v>215000</v>
      </c>
      <c r="I19" s="77">
        <f t="shared" si="1"/>
        <v>3870</v>
      </c>
      <c r="J19" s="77">
        <f t="shared" si="2"/>
        <v>5572.8</v>
      </c>
    </row>
    <row r="20" spans="1:22" x14ac:dyDescent="0.25">
      <c r="A20" s="25" t="s">
        <v>41</v>
      </c>
      <c r="B20" s="24" t="s">
        <v>15</v>
      </c>
      <c r="C20" s="24">
        <v>2900</v>
      </c>
      <c r="D20" s="24">
        <v>600</v>
      </c>
      <c r="E20" s="24">
        <v>18</v>
      </c>
      <c r="F20" s="24">
        <f>5-1-1</f>
        <v>3</v>
      </c>
      <c r="G20" s="23">
        <f t="shared" si="0"/>
        <v>9.3959999999999988E-2</v>
      </c>
      <c r="H20" s="79">
        <v>250000</v>
      </c>
      <c r="I20" s="77">
        <f t="shared" si="1"/>
        <v>4500</v>
      </c>
      <c r="J20" s="77">
        <f t="shared" si="2"/>
        <v>7830</v>
      </c>
    </row>
    <row r="21" spans="1:22" x14ac:dyDescent="0.25">
      <c r="A21" s="25" t="s">
        <v>41</v>
      </c>
      <c r="B21" s="24" t="s">
        <v>15</v>
      </c>
      <c r="C21" s="24">
        <v>1300</v>
      </c>
      <c r="D21" s="24">
        <v>300</v>
      </c>
      <c r="E21" s="24">
        <v>40</v>
      </c>
      <c r="F21" s="24">
        <v>31</v>
      </c>
      <c r="G21" s="23">
        <f t="shared" si="0"/>
        <v>0.48360000000000003</v>
      </c>
      <c r="H21" s="79">
        <v>180000</v>
      </c>
      <c r="I21" s="77">
        <f t="shared" si="1"/>
        <v>7200</v>
      </c>
      <c r="J21" s="77">
        <f t="shared" si="2"/>
        <v>2808</v>
      </c>
    </row>
    <row r="22" spans="1:22" x14ac:dyDescent="0.25">
      <c r="A22" s="25" t="s">
        <v>41</v>
      </c>
      <c r="B22" s="24" t="s">
        <v>15</v>
      </c>
      <c r="C22" s="24">
        <v>1600</v>
      </c>
      <c r="D22" s="24">
        <v>300</v>
      </c>
      <c r="E22" s="24">
        <v>40</v>
      </c>
      <c r="F22" s="24">
        <f>4-1-1-1-1+1</f>
        <v>1</v>
      </c>
      <c r="G22" s="23">
        <f t="shared" si="0"/>
        <v>1.9199999999999998E-2</v>
      </c>
      <c r="H22" s="79">
        <v>193000</v>
      </c>
      <c r="I22" s="77">
        <f t="shared" si="1"/>
        <v>7720</v>
      </c>
      <c r="J22" s="77">
        <f t="shared" si="2"/>
        <v>3705.6</v>
      </c>
    </row>
    <row r="23" spans="1:22" x14ac:dyDescent="0.25">
      <c r="A23" s="25" t="s">
        <v>41</v>
      </c>
      <c r="B23" s="24" t="s">
        <v>15</v>
      </c>
      <c r="C23" s="24">
        <v>900</v>
      </c>
      <c r="D23" s="23">
        <v>600</v>
      </c>
      <c r="E23" s="24">
        <v>40</v>
      </c>
      <c r="F23" s="24">
        <f>33+2+27-1-1-12-13-12-4-6-3-4</f>
        <v>6</v>
      </c>
      <c r="G23" s="23">
        <f t="shared" si="0"/>
        <v>0.12959999999999999</v>
      </c>
      <c r="H23" s="79">
        <v>180000</v>
      </c>
      <c r="I23" s="77">
        <f t="shared" si="1"/>
        <v>7200</v>
      </c>
      <c r="J23" s="77">
        <f t="shared" si="2"/>
        <v>3888</v>
      </c>
    </row>
    <row r="24" spans="1:22" x14ac:dyDescent="0.25">
      <c r="A24" s="25" t="s">
        <v>41</v>
      </c>
      <c r="B24" s="24" t="s">
        <v>15</v>
      </c>
      <c r="C24" s="24">
        <v>1700</v>
      </c>
      <c r="D24" s="24">
        <v>600</v>
      </c>
      <c r="E24" s="24">
        <v>40</v>
      </c>
      <c r="F24" s="24">
        <v>8</v>
      </c>
      <c r="G24" s="23">
        <f t="shared" si="0"/>
        <v>0.32639999999999997</v>
      </c>
      <c r="H24" s="79">
        <v>205000</v>
      </c>
      <c r="I24" s="77">
        <f t="shared" si="1"/>
        <v>8200</v>
      </c>
      <c r="J24" s="77">
        <f t="shared" si="2"/>
        <v>8364</v>
      </c>
    </row>
    <row r="25" spans="1:22" x14ac:dyDescent="0.25">
      <c r="A25" s="25" t="s">
        <v>41</v>
      </c>
      <c r="B25" s="24" t="s">
        <v>15</v>
      </c>
      <c r="C25" s="24">
        <v>2400</v>
      </c>
      <c r="D25" s="23">
        <v>600</v>
      </c>
      <c r="E25" s="24">
        <v>40</v>
      </c>
      <c r="F25" s="24">
        <v>1</v>
      </c>
      <c r="G25" s="23">
        <f t="shared" si="0"/>
        <v>5.7599999999999998E-2</v>
      </c>
      <c r="H25" s="79">
        <v>205000</v>
      </c>
      <c r="I25" s="77">
        <f t="shared" si="1"/>
        <v>8200</v>
      </c>
      <c r="J25" s="77">
        <f t="shared" si="2"/>
        <v>11808</v>
      </c>
    </row>
    <row r="26" spans="1:22" x14ac:dyDescent="0.25">
      <c r="A26" s="25" t="s">
        <v>41</v>
      </c>
      <c r="B26" s="24" t="s">
        <v>15</v>
      </c>
      <c r="C26" s="24">
        <v>2500</v>
      </c>
      <c r="D26" s="23">
        <v>600</v>
      </c>
      <c r="E26" s="24">
        <v>40</v>
      </c>
      <c r="F26" s="24">
        <v>5</v>
      </c>
      <c r="G26" s="23">
        <f t="shared" si="0"/>
        <v>0.3</v>
      </c>
      <c r="H26" s="79">
        <v>205000</v>
      </c>
      <c r="I26" s="77">
        <f t="shared" si="1"/>
        <v>8200</v>
      </c>
      <c r="J26" s="77">
        <f t="shared" si="2"/>
        <v>12300</v>
      </c>
    </row>
    <row r="27" spans="1:22" x14ac:dyDescent="0.25">
      <c r="A27" s="25" t="s">
        <v>41</v>
      </c>
      <c r="B27" s="24" t="s">
        <v>15</v>
      </c>
      <c r="C27" s="24">
        <v>2800</v>
      </c>
      <c r="D27" s="23">
        <v>600</v>
      </c>
      <c r="E27" s="24">
        <v>40</v>
      </c>
      <c r="F27" s="24">
        <f>4+4-5-1+14-1-3-4-1-1-1-1-1-1</f>
        <v>2</v>
      </c>
      <c r="G27" s="23">
        <f t="shared" si="0"/>
        <v>0.13440000000000002</v>
      </c>
      <c r="H27" s="79">
        <v>205000</v>
      </c>
      <c r="I27" s="77">
        <f t="shared" si="1"/>
        <v>8200</v>
      </c>
      <c r="J27" s="77">
        <f t="shared" si="2"/>
        <v>13776</v>
      </c>
    </row>
    <row r="28" spans="1:22" x14ac:dyDescent="0.25">
      <c r="A28" s="25" t="s">
        <v>41</v>
      </c>
      <c r="B28" s="24" t="s">
        <v>15</v>
      </c>
      <c r="C28" s="24">
        <v>3400</v>
      </c>
      <c r="D28" s="23">
        <v>600</v>
      </c>
      <c r="E28" s="24">
        <v>40</v>
      </c>
      <c r="F28" s="24">
        <f>2-1+15-1-1-9-1-1</f>
        <v>3</v>
      </c>
      <c r="G28" s="23">
        <f t="shared" si="0"/>
        <v>0.24480000000000002</v>
      </c>
      <c r="H28" s="79">
        <v>275000</v>
      </c>
      <c r="I28" s="77">
        <f t="shared" si="1"/>
        <v>11000</v>
      </c>
      <c r="J28" s="77">
        <f t="shared" si="2"/>
        <v>22440</v>
      </c>
    </row>
    <row r="29" spans="1:22" x14ac:dyDescent="0.25">
      <c r="A29" s="25" t="s">
        <v>41</v>
      </c>
      <c r="B29" s="24" t="s">
        <v>22</v>
      </c>
      <c r="C29" s="24">
        <v>2500</v>
      </c>
      <c r="D29" s="24">
        <v>600</v>
      </c>
      <c r="E29" s="24">
        <v>18</v>
      </c>
      <c r="F29" s="24">
        <f>23-1-1</f>
        <v>21</v>
      </c>
      <c r="G29" s="23">
        <f t="shared" si="0"/>
        <v>0.56699999999999995</v>
      </c>
      <c r="H29" s="79">
        <v>130000</v>
      </c>
      <c r="I29" s="77">
        <f t="shared" si="1"/>
        <v>2340</v>
      </c>
      <c r="J29" s="77">
        <f t="shared" si="2"/>
        <v>3510</v>
      </c>
    </row>
    <row r="30" spans="1:22" x14ac:dyDescent="0.25">
      <c r="A30" s="25" t="s">
        <v>41</v>
      </c>
      <c r="B30" s="24" t="s">
        <v>22</v>
      </c>
      <c r="C30" s="24">
        <v>2400</v>
      </c>
      <c r="D30" s="24">
        <v>600</v>
      </c>
      <c r="E30" s="24">
        <v>20</v>
      </c>
      <c r="F30" s="24">
        <f>14-1-1-1-1</f>
        <v>10</v>
      </c>
      <c r="G30" s="23">
        <f t="shared" si="0"/>
        <v>0.28799999999999998</v>
      </c>
      <c r="H30" s="79">
        <v>130000</v>
      </c>
      <c r="I30" s="77">
        <f t="shared" si="1"/>
        <v>2600</v>
      </c>
      <c r="J30" s="77">
        <f t="shared" si="2"/>
        <v>3744</v>
      </c>
    </row>
    <row r="31" spans="1:22" x14ac:dyDescent="0.25">
      <c r="A31" s="25" t="s">
        <v>41</v>
      </c>
      <c r="B31" s="24" t="s">
        <v>22</v>
      </c>
      <c r="C31" s="24">
        <v>3600</v>
      </c>
      <c r="D31" s="24">
        <v>600</v>
      </c>
      <c r="E31" s="24">
        <v>20</v>
      </c>
      <c r="F31" s="24">
        <f>16-1+32-4-1-1</f>
        <v>41</v>
      </c>
      <c r="G31" s="23">
        <f t="shared" si="0"/>
        <v>1.7712000000000001</v>
      </c>
      <c r="H31" s="79">
        <v>130000</v>
      </c>
      <c r="I31" s="77">
        <f t="shared" si="1"/>
        <v>2600</v>
      </c>
      <c r="J31" s="77">
        <f t="shared" si="2"/>
        <v>5616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25" t="s">
        <v>41</v>
      </c>
      <c r="B32" s="24" t="s">
        <v>22</v>
      </c>
      <c r="C32" s="24">
        <v>4200</v>
      </c>
      <c r="D32" s="23">
        <v>600</v>
      </c>
      <c r="E32" s="23">
        <v>20</v>
      </c>
      <c r="F32" s="24">
        <f>11-1+6+26+4-15-10-1</f>
        <v>20</v>
      </c>
      <c r="G32" s="23">
        <f t="shared" si="0"/>
        <v>1.008</v>
      </c>
      <c r="H32" s="79">
        <v>130000</v>
      </c>
      <c r="I32" s="77">
        <f t="shared" si="1"/>
        <v>2600</v>
      </c>
      <c r="J32" s="77">
        <f t="shared" si="2"/>
        <v>6552</v>
      </c>
    </row>
    <row r="33" spans="1:10" x14ac:dyDescent="0.25">
      <c r="A33" s="32" t="s">
        <v>41</v>
      </c>
      <c r="B33" s="24" t="s">
        <v>22</v>
      </c>
      <c r="C33" s="80">
        <v>1000</v>
      </c>
      <c r="D33" s="80">
        <v>300</v>
      </c>
      <c r="E33" s="80">
        <v>40</v>
      </c>
      <c r="F33" s="80">
        <v>15</v>
      </c>
      <c r="G33" s="31">
        <f t="shared" si="0"/>
        <v>0.18</v>
      </c>
      <c r="H33" s="79">
        <v>130000</v>
      </c>
      <c r="I33" s="77">
        <f t="shared" si="1"/>
        <v>5200</v>
      </c>
      <c r="J33" s="77">
        <f t="shared" si="2"/>
        <v>1560</v>
      </c>
    </row>
    <row r="34" spans="1:10" x14ac:dyDescent="0.25">
      <c r="A34" s="32" t="s">
        <v>41</v>
      </c>
      <c r="B34" s="24" t="s">
        <v>22</v>
      </c>
      <c r="C34" s="80">
        <v>1100</v>
      </c>
      <c r="D34" s="80">
        <v>300</v>
      </c>
      <c r="E34" s="80">
        <v>40</v>
      </c>
      <c r="F34" s="80">
        <f>121-1-1-2-17</f>
        <v>100</v>
      </c>
      <c r="G34" s="31">
        <f t="shared" si="0"/>
        <v>1.32</v>
      </c>
      <c r="H34" s="79">
        <v>130000</v>
      </c>
      <c r="I34" s="77">
        <f t="shared" si="1"/>
        <v>5200</v>
      </c>
      <c r="J34" s="77">
        <f t="shared" si="2"/>
        <v>1716</v>
      </c>
    </row>
    <row r="35" spans="1:10" x14ac:dyDescent="0.25">
      <c r="A35" s="32" t="s">
        <v>41</v>
      </c>
      <c r="B35" s="24" t="s">
        <v>22</v>
      </c>
      <c r="C35" s="80">
        <v>1200</v>
      </c>
      <c r="D35" s="80">
        <v>300</v>
      </c>
      <c r="E35" s="80">
        <v>40</v>
      </c>
      <c r="F35" s="80">
        <f>188-1</f>
        <v>187</v>
      </c>
      <c r="G35" s="31">
        <f t="shared" si="0"/>
        <v>2.6928000000000001</v>
      </c>
      <c r="H35" s="79">
        <v>130000</v>
      </c>
      <c r="I35" s="77">
        <f t="shared" si="1"/>
        <v>5200</v>
      </c>
      <c r="J35" s="77">
        <f t="shared" si="2"/>
        <v>1872</v>
      </c>
    </row>
    <row r="36" spans="1:10" x14ac:dyDescent="0.25">
      <c r="A36" s="32" t="s">
        <v>41</v>
      </c>
      <c r="B36" s="24" t="s">
        <v>22</v>
      </c>
      <c r="C36" s="80">
        <v>4200</v>
      </c>
      <c r="D36" s="31">
        <v>600</v>
      </c>
      <c r="E36" s="80">
        <v>40</v>
      </c>
      <c r="F36" s="80">
        <v>165</v>
      </c>
      <c r="G36" s="31">
        <f t="shared" si="0"/>
        <v>16.632000000000001</v>
      </c>
      <c r="H36" s="79">
        <v>130000</v>
      </c>
      <c r="I36" s="77">
        <f t="shared" si="1"/>
        <v>5200</v>
      </c>
      <c r="J36" s="77">
        <f t="shared" si="2"/>
        <v>13104</v>
      </c>
    </row>
    <row r="37" spans="1:10" x14ac:dyDescent="0.25">
      <c r="A37" s="32" t="s">
        <v>41</v>
      </c>
      <c r="B37" s="80" t="s">
        <v>55</v>
      </c>
      <c r="C37" s="80">
        <v>900</v>
      </c>
      <c r="D37" s="80">
        <v>300</v>
      </c>
      <c r="E37" s="80">
        <v>40</v>
      </c>
      <c r="F37" s="80">
        <v>1</v>
      </c>
      <c r="G37" s="31">
        <f t="shared" si="0"/>
        <v>1.0800000000000001E-2</v>
      </c>
      <c r="H37" s="79">
        <v>130000</v>
      </c>
      <c r="I37" s="77">
        <f t="shared" si="1"/>
        <v>5200</v>
      </c>
      <c r="J37" s="77">
        <f t="shared" si="2"/>
        <v>1404</v>
      </c>
    </row>
    <row r="38" spans="1:10" x14ac:dyDescent="0.25">
      <c r="A38" s="25" t="s">
        <v>41</v>
      </c>
      <c r="B38" s="24" t="s">
        <v>25</v>
      </c>
      <c r="C38" s="24">
        <v>3000</v>
      </c>
      <c r="D38" s="24">
        <v>300</v>
      </c>
      <c r="E38" s="24">
        <v>50</v>
      </c>
      <c r="F38" s="24">
        <v>21</v>
      </c>
      <c r="G38" s="23">
        <f t="shared" si="0"/>
        <v>0.94499999999999995</v>
      </c>
      <c r="H38" s="79">
        <v>140000</v>
      </c>
      <c r="I38" s="77">
        <f t="shared" si="1"/>
        <v>7000</v>
      </c>
      <c r="J38" s="77">
        <f t="shared" si="2"/>
        <v>6300</v>
      </c>
    </row>
    <row r="39" spans="1:10" x14ac:dyDescent="0.25">
      <c r="G39" s="98">
        <f>SUM(G9:G38)</f>
        <v>28.803840000000001</v>
      </c>
    </row>
    <row r="41" spans="1:10" x14ac:dyDescent="0.25">
      <c r="A41" s="96" t="s">
        <v>56</v>
      </c>
      <c r="B41" s="72"/>
      <c r="C41" s="72"/>
      <c r="D41" s="72"/>
      <c r="E41" s="72"/>
      <c r="F41" s="72"/>
      <c r="G41" s="72"/>
      <c r="H41" s="72"/>
      <c r="I41" s="72"/>
      <c r="J41" s="72"/>
    </row>
    <row r="42" spans="1:10" x14ac:dyDescent="0.25">
      <c r="A42" s="72" t="s">
        <v>49</v>
      </c>
      <c r="B42" s="72"/>
      <c r="C42" s="72"/>
      <c r="D42" s="72"/>
      <c r="E42" s="72"/>
      <c r="F42" s="72"/>
      <c r="G42" s="72"/>
      <c r="H42" s="72"/>
      <c r="I42" s="72"/>
      <c r="J42" s="72"/>
    </row>
    <row r="43" spans="1:10" x14ac:dyDescent="0.25">
      <c r="A43" s="83" t="s">
        <v>57</v>
      </c>
      <c r="B43" s="72"/>
      <c r="C43" s="72"/>
      <c r="D43" s="72"/>
      <c r="E43" s="72"/>
      <c r="F43" s="72"/>
      <c r="G43" s="72"/>
      <c r="H43" s="72"/>
      <c r="I43" s="72"/>
      <c r="J43" s="72"/>
    </row>
    <row r="44" spans="1:10" x14ac:dyDescent="0.25">
      <c r="A44" s="83" t="s">
        <v>58</v>
      </c>
      <c r="B44" s="72"/>
      <c r="C44" s="72"/>
      <c r="D44" s="72"/>
      <c r="E44" s="72"/>
      <c r="F44" s="72"/>
      <c r="G44" s="72"/>
      <c r="H44" s="72"/>
      <c r="I44" s="72"/>
      <c r="J44" s="72"/>
    </row>
    <row r="45" spans="1:10" x14ac:dyDescent="0.25">
      <c r="A45" s="83" t="s">
        <v>59</v>
      </c>
      <c r="B45" s="72"/>
      <c r="C45" s="72"/>
      <c r="D45" s="72"/>
      <c r="E45" s="72"/>
      <c r="F45" s="72"/>
      <c r="G45" s="72"/>
      <c r="H45" s="72"/>
      <c r="I45" s="72"/>
      <c r="J45" s="72"/>
    </row>
    <row r="46" spans="1:10" x14ac:dyDescent="0.25">
      <c r="A46" s="83" t="s">
        <v>60</v>
      </c>
      <c r="B46" s="72"/>
      <c r="C46" s="72"/>
      <c r="D46" s="72"/>
      <c r="E46" s="72"/>
      <c r="F46" s="72"/>
      <c r="G46" s="72"/>
      <c r="H46" s="72"/>
      <c r="I46" s="72"/>
      <c r="J46" s="72"/>
    </row>
    <row r="47" spans="1:10" x14ac:dyDescent="0.25">
      <c r="A47" s="83" t="s">
        <v>61</v>
      </c>
      <c r="B47" s="72"/>
      <c r="C47" s="72"/>
      <c r="D47" s="72"/>
      <c r="E47" s="72"/>
      <c r="F47" s="72"/>
      <c r="G47" s="72"/>
      <c r="H47" s="72"/>
      <c r="I47" s="72"/>
      <c r="J47" s="72"/>
    </row>
    <row r="48" spans="1:10" x14ac:dyDescent="0.25">
      <c r="A48" s="83" t="s">
        <v>62</v>
      </c>
      <c r="B48" s="72"/>
      <c r="C48" s="72"/>
      <c r="D48" s="72"/>
      <c r="E48" s="72"/>
      <c r="F48" s="72"/>
      <c r="G48" s="72"/>
      <c r="H48" s="72"/>
      <c r="I48" s="72"/>
      <c r="J48" s="72"/>
    </row>
  </sheetData>
  <mergeCells count="1">
    <mergeCell ref="A5:J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AG66"/>
  <sheetViews>
    <sheetView workbookViewId="0">
      <selection activeCell="O13" sqref="O13"/>
    </sheetView>
  </sheetViews>
  <sheetFormatPr defaultColWidth="14.42578125" defaultRowHeight="15" customHeight="1" x14ac:dyDescent="0.25"/>
  <cols>
    <col min="2" max="2" width="46.28515625" customWidth="1"/>
    <col min="3" max="3" width="11.42578125" customWidth="1"/>
    <col min="4" max="4" width="12.28515625" customWidth="1"/>
    <col min="5" max="5" width="11.5703125" customWidth="1"/>
    <col min="6" max="6" width="11.7109375" customWidth="1"/>
    <col min="7" max="7" width="7.7109375" customWidth="1"/>
  </cols>
  <sheetData>
    <row r="2" spans="1:33" ht="15.75" x14ac:dyDescent="0.25">
      <c r="A2" s="71" t="s">
        <v>35</v>
      </c>
    </row>
    <row r="3" spans="1:33" x14ac:dyDescent="0.25">
      <c r="A3" s="100" t="s">
        <v>63</v>
      </c>
    </row>
    <row r="4" spans="1:33" ht="33.75" customHeight="1" x14ac:dyDescent="0.25">
      <c r="A4" s="152" t="s">
        <v>64</v>
      </c>
      <c r="B4" s="144"/>
      <c r="C4" s="144"/>
      <c r="D4" s="144"/>
      <c r="E4" s="144"/>
      <c r="F4" s="144"/>
      <c r="G4" s="144"/>
      <c r="H4" s="144"/>
      <c r="I4" s="144"/>
      <c r="J4" s="144"/>
    </row>
    <row r="5" spans="1:33" ht="81.75" customHeight="1" x14ac:dyDescent="0.25">
      <c r="A5" s="148"/>
      <c r="B5" s="149"/>
      <c r="C5" s="149"/>
      <c r="D5" s="149"/>
      <c r="E5" s="149"/>
      <c r="F5" s="149"/>
      <c r="G5" s="149"/>
      <c r="H5" s="149"/>
      <c r="I5" s="149"/>
      <c r="J5" s="149"/>
    </row>
    <row r="6" spans="1:33" ht="35.25" customHeight="1" x14ac:dyDescent="0.25">
      <c r="A6" s="82"/>
      <c r="B6" s="9" t="s">
        <v>5</v>
      </c>
      <c r="C6" s="9" t="s">
        <v>6</v>
      </c>
      <c r="D6" s="9" t="s">
        <v>7</v>
      </c>
      <c r="E6" s="9" t="s">
        <v>8</v>
      </c>
      <c r="F6" s="9" t="s">
        <v>9</v>
      </c>
      <c r="G6" s="9" t="s">
        <v>10</v>
      </c>
      <c r="H6" s="10" t="s">
        <v>38</v>
      </c>
      <c r="I6" s="10" t="s">
        <v>39</v>
      </c>
      <c r="J6" s="10" t="s">
        <v>40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x14ac:dyDescent="0.25">
      <c r="A7" s="82" t="s">
        <v>65</v>
      </c>
      <c r="B7" s="13" t="s">
        <v>15</v>
      </c>
      <c r="C7" s="13">
        <v>1000</v>
      </c>
      <c r="D7" s="13">
        <v>600</v>
      </c>
      <c r="E7" s="13">
        <v>18</v>
      </c>
      <c r="F7" s="13">
        <f>75-4-4-4-2-1-1-1-1-1-1-5-6-4-2-3-5+30</f>
        <v>60</v>
      </c>
      <c r="G7" s="101">
        <f t="shared" ref="G7:G9" si="0">F7*E7*D7*C7/1000/1000/1000</f>
        <v>0.64800000000000002</v>
      </c>
      <c r="H7" s="102">
        <v>140000</v>
      </c>
      <c r="I7" s="103">
        <f t="shared" ref="I7:I55" si="1">H7/1000*E7</f>
        <v>2520</v>
      </c>
      <c r="J7" s="103">
        <f t="shared" ref="J7:J55" si="2">H7*E7*D7*C7/1000/1000/1000</f>
        <v>1512</v>
      </c>
    </row>
    <row r="8" spans="1:33" x14ac:dyDescent="0.25">
      <c r="A8" s="82" t="s">
        <v>65</v>
      </c>
      <c r="B8" s="13" t="s">
        <v>15</v>
      </c>
      <c r="C8" s="13">
        <v>1200</v>
      </c>
      <c r="D8" s="13">
        <v>600</v>
      </c>
      <c r="E8" s="13">
        <v>18</v>
      </c>
      <c r="F8" s="13">
        <f>50-2-2-3-2-8-3-4-2-5-3-1</f>
        <v>15</v>
      </c>
      <c r="G8" s="101">
        <f t="shared" si="0"/>
        <v>0.19440000000000002</v>
      </c>
      <c r="H8" s="102">
        <v>140000</v>
      </c>
      <c r="I8" s="103">
        <f t="shared" si="1"/>
        <v>2520</v>
      </c>
      <c r="J8" s="103">
        <f t="shared" si="2"/>
        <v>1814.4</v>
      </c>
    </row>
    <row r="9" spans="1:33" x14ac:dyDescent="0.25">
      <c r="A9" s="82" t="s">
        <v>65</v>
      </c>
      <c r="B9" s="13" t="s">
        <v>15</v>
      </c>
      <c r="C9" s="13">
        <v>1400</v>
      </c>
      <c r="D9" s="13">
        <v>600</v>
      </c>
      <c r="E9" s="13">
        <v>18</v>
      </c>
      <c r="F9" s="13">
        <f>25-1-4-1-5-3+25</f>
        <v>36</v>
      </c>
      <c r="G9" s="101">
        <f t="shared" si="0"/>
        <v>0.54432000000000003</v>
      </c>
      <c r="H9" s="102">
        <v>140000</v>
      </c>
      <c r="I9" s="103">
        <f t="shared" si="1"/>
        <v>2520</v>
      </c>
      <c r="J9" s="103">
        <f t="shared" si="2"/>
        <v>2116.8000000000002</v>
      </c>
    </row>
    <row r="10" spans="1:33" x14ac:dyDescent="0.25">
      <c r="A10" s="82" t="s">
        <v>65</v>
      </c>
      <c r="B10" s="13" t="s">
        <v>15</v>
      </c>
      <c r="C10" s="104">
        <v>2000</v>
      </c>
      <c r="D10" s="13">
        <v>600</v>
      </c>
      <c r="E10" s="13">
        <v>18</v>
      </c>
      <c r="F10" s="104">
        <v>6</v>
      </c>
      <c r="G10" s="101">
        <f t="shared" ref="G10:G51" si="3">F10*E10*D10*$C$10/1000/1000/1000</f>
        <v>0.12959999999999999</v>
      </c>
      <c r="H10" s="102">
        <v>145000</v>
      </c>
      <c r="I10" s="103">
        <f t="shared" si="1"/>
        <v>2610</v>
      </c>
      <c r="J10" s="103">
        <f t="shared" si="2"/>
        <v>3132</v>
      </c>
    </row>
    <row r="11" spans="1:33" x14ac:dyDescent="0.25">
      <c r="A11" s="82" t="s">
        <v>65</v>
      </c>
      <c r="B11" s="13" t="s">
        <v>15</v>
      </c>
      <c r="C11" s="105">
        <v>1200</v>
      </c>
      <c r="D11" s="106">
        <v>650</v>
      </c>
      <c r="E11" s="106">
        <v>18</v>
      </c>
      <c r="F11" s="107">
        <v>41</v>
      </c>
      <c r="G11" s="101">
        <f t="shared" si="3"/>
        <v>0.95940000000000003</v>
      </c>
      <c r="H11" s="102">
        <v>140000</v>
      </c>
      <c r="I11" s="103">
        <f t="shared" si="1"/>
        <v>2520</v>
      </c>
      <c r="J11" s="103">
        <f t="shared" si="2"/>
        <v>1965.6</v>
      </c>
    </row>
    <row r="12" spans="1:33" x14ac:dyDescent="0.25">
      <c r="A12" s="82" t="s">
        <v>65</v>
      </c>
      <c r="B12" s="13" t="s">
        <v>15</v>
      </c>
      <c r="C12" s="108">
        <v>1400</v>
      </c>
      <c r="D12" s="109">
        <v>650</v>
      </c>
      <c r="E12" s="109">
        <v>18</v>
      </c>
      <c r="F12" s="110">
        <v>30</v>
      </c>
      <c r="G12" s="101">
        <f t="shared" si="3"/>
        <v>0.70199999999999996</v>
      </c>
      <c r="H12" s="102">
        <v>140000</v>
      </c>
      <c r="I12" s="103">
        <f t="shared" si="1"/>
        <v>2520</v>
      </c>
      <c r="J12" s="103">
        <f t="shared" si="2"/>
        <v>2293.1999999999998</v>
      </c>
    </row>
    <row r="13" spans="1:33" x14ac:dyDescent="0.25">
      <c r="A13" s="82" t="s">
        <v>65</v>
      </c>
      <c r="B13" s="13" t="s">
        <v>15</v>
      </c>
      <c r="C13" s="108">
        <v>1600</v>
      </c>
      <c r="D13" s="109">
        <v>650</v>
      </c>
      <c r="E13" s="109">
        <v>18</v>
      </c>
      <c r="F13" s="110">
        <v>26</v>
      </c>
      <c r="G13" s="101">
        <f t="shared" si="3"/>
        <v>0.60839999999999994</v>
      </c>
      <c r="H13" s="102">
        <v>145000</v>
      </c>
      <c r="I13" s="103">
        <f t="shared" si="1"/>
        <v>2610</v>
      </c>
      <c r="J13" s="103">
        <f t="shared" si="2"/>
        <v>2714.4</v>
      </c>
    </row>
    <row r="14" spans="1:33" x14ac:dyDescent="0.25">
      <c r="A14" s="82" t="s">
        <v>65</v>
      </c>
      <c r="B14" s="13" t="s">
        <v>15</v>
      </c>
      <c r="C14" s="108">
        <v>1800</v>
      </c>
      <c r="D14" s="109">
        <v>650</v>
      </c>
      <c r="E14" s="109">
        <v>18</v>
      </c>
      <c r="F14" s="110">
        <v>6</v>
      </c>
      <c r="G14" s="101">
        <f t="shared" si="3"/>
        <v>0.1404</v>
      </c>
      <c r="H14" s="102">
        <v>145000</v>
      </c>
      <c r="I14" s="103">
        <f t="shared" si="1"/>
        <v>2610</v>
      </c>
      <c r="J14" s="103">
        <f t="shared" si="2"/>
        <v>3053.7</v>
      </c>
    </row>
    <row r="15" spans="1:33" x14ac:dyDescent="0.25">
      <c r="A15" s="82" t="s">
        <v>65</v>
      </c>
      <c r="B15" s="13" t="s">
        <v>15</v>
      </c>
      <c r="C15" s="108">
        <v>2000</v>
      </c>
      <c r="D15" s="109">
        <v>650</v>
      </c>
      <c r="E15" s="109">
        <v>18</v>
      </c>
      <c r="F15" s="110">
        <v>1</v>
      </c>
      <c r="G15" s="101">
        <f t="shared" si="3"/>
        <v>2.3399999999999997E-2</v>
      </c>
      <c r="H15" s="102">
        <v>145000</v>
      </c>
      <c r="I15" s="103">
        <f t="shared" si="1"/>
        <v>2610</v>
      </c>
      <c r="J15" s="103">
        <f t="shared" si="2"/>
        <v>3393</v>
      </c>
    </row>
    <row r="16" spans="1:33" x14ac:dyDescent="0.25">
      <c r="A16" s="82" t="s">
        <v>65</v>
      </c>
      <c r="B16" s="13" t="s">
        <v>15</v>
      </c>
      <c r="C16" s="108">
        <v>2200</v>
      </c>
      <c r="D16" s="109">
        <v>650</v>
      </c>
      <c r="E16" s="109">
        <v>18</v>
      </c>
      <c r="F16" s="110">
        <v>7</v>
      </c>
      <c r="G16" s="101">
        <f t="shared" si="3"/>
        <v>0.1638</v>
      </c>
      <c r="H16" s="102">
        <v>145000</v>
      </c>
      <c r="I16" s="103">
        <f t="shared" si="1"/>
        <v>2610</v>
      </c>
      <c r="J16" s="103">
        <f t="shared" si="2"/>
        <v>3732.3</v>
      </c>
    </row>
    <row r="17" spans="1:10" x14ac:dyDescent="0.25">
      <c r="A17" s="82" t="s">
        <v>65</v>
      </c>
      <c r="B17" s="13" t="s">
        <v>15</v>
      </c>
      <c r="C17" s="108">
        <v>2400</v>
      </c>
      <c r="D17" s="109">
        <v>650</v>
      </c>
      <c r="E17" s="109">
        <v>18</v>
      </c>
      <c r="F17" s="110">
        <v>5</v>
      </c>
      <c r="G17" s="101">
        <f t="shared" si="3"/>
        <v>0.11700000000000001</v>
      </c>
      <c r="H17" s="102">
        <v>145000</v>
      </c>
      <c r="I17" s="103">
        <f t="shared" si="1"/>
        <v>2610</v>
      </c>
      <c r="J17" s="103">
        <f t="shared" si="2"/>
        <v>4071.6</v>
      </c>
    </row>
    <row r="18" spans="1:10" x14ac:dyDescent="0.25">
      <c r="A18" s="82" t="s">
        <v>65</v>
      </c>
      <c r="B18" s="13" t="s">
        <v>15</v>
      </c>
      <c r="C18" s="108">
        <v>2600</v>
      </c>
      <c r="D18" s="109">
        <v>650</v>
      </c>
      <c r="E18" s="109">
        <v>18</v>
      </c>
      <c r="F18" s="110">
        <v>4</v>
      </c>
      <c r="G18" s="101">
        <f t="shared" si="3"/>
        <v>9.3599999999999989E-2</v>
      </c>
      <c r="H18" s="102">
        <v>145000</v>
      </c>
      <c r="I18" s="103">
        <f t="shared" si="1"/>
        <v>2610</v>
      </c>
      <c r="J18" s="103">
        <f t="shared" si="2"/>
        <v>4410.8999999999996</v>
      </c>
    </row>
    <row r="19" spans="1:10" x14ac:dyDescent="0.25">
      <c r="A19" s="82" t="s">
        <v>65</v>
      </c>
      <c r="B19" s="13" t="s">
        <v>15</v>
      </c>
      <c r="C19" s="108">
        <v>2800</v>
      </c>
      <c r="D19" s="109">
        <v>650</v>
      </c>
      <c r="E19" s="109">
        <v>18</v>
      </c>
      <c r="F19" s="110">
        <v>1</v>
      </c>
      <c r="G19" s="101">
        <f t="shared" si="3"/>
        <v>2.3399999999999997E-2</v>
      </c>
      <c r="H19" s="102">
        <v>145000</v>
      </c>
      <c r="I19" s="103">
        <f t="shared" si="1"/>
        <v>2610</v>
      </c>
      <c r="J19" s="103">
        <f t="shared" si="2"/>
        <v>4750.2</v>
      </c>
    </row>
    <row r="20" spans="1:10" x14ac:dyDescent="0.25">
      <c r="A20" s="82" t="s">
        <v>65</v>
      </c>
      <c r="B20" s="13" t="s">
        <v>15</v>
      </c>
      <c r="C20" s="108">
        <v>3200</v>
      </c>
      <c r="D20" s="109">
        <v>650</v>
      </c>
      <c r="E20" s="109">
        <v>18</v>
      </c>
      <c r="F20" s="110">
        <v>1</v>
      </c>
      <c r="G20" s="101">
        <f t="shared" si="3"/>
        <v>2.3399999999999997E-2</v>
      </c>
      <c r="H20" s="102">
        <v>150000</v>
      </c>
      <c r="I20" s="103">
        <f t="shared" si="1"/>
        <v>2700</v>
      </c>
      <c r="J20" s="103">
        <f t="shared" si="2"/>
        <v>5616</v>
      </c>
    </row>
    <row r="21" spans="1:10" x14ac:dyDescent="0.25">
      <c r="A21" s="82" t="s">
        <v>65</v>
      </c>
      <c r="B21" s="13" t="s">
        <v>15</v>
      </c>
      <c r="C21" s="108">
        <v>1000</v>
      </c>
      <c r="D21" s="109">
        <v>600</v>
      </c>
      <c r="E21" s="109">
        <v>40</v>
      </c>
      <c r="F21" s="110">
        <v>88</v>
      </c>
      <c r="G21" s="101">
        <f t="shared" si="3"/>
        <v>4.2240000000000002</v>
      </c>
      <c r="H21" s="102">
        <v>145000</v>
      </c>
      <c r="I21" s="103">
        <f t="shared" si="1"/>
        <v>5800</v>
      </c>
      <c r="J21" s="103">
        <f t="shared" si="2"/>
        <v>3480</v>
      </c>
    </row>
    <row r="22" spans="1:10" x14ac:dyDescent="0.25">
      <c r="A22" s="82" t="s">
        <v>65</v>
      </c>
      <c r="B22" s="13" t="s">
        <v>15</v>
      </c>
      <c r="C22" s="108">
        <v>1100</v>
      </c>
      <c r="D22" s="109">
        <v>600</v>
      </c>
      <c r="E22" s="109">
        <v>40</v>
      </c>
      <c r="F22" s="110">
        <v>91</v>
      </c>
      <c r="G22" s="101">
        <f t="shared" si="3"/>
        <v>4.3680000000000003</v>
      </c>
      <c r="H22" s="102">
        <v>145000</v>
      </c>
      <c r="I22" s="103">
        <f t="shared" si="1"/>
        <v>5800</v>
      </c>
      <c r="J22" s="103">
        <f t="shared" si="2"/>
        <v>3828</v>
      </c>
    </row>
    <row r="23" spans="1:10" x14ac:dyDescent="0.25">
      <c r="A23" s="82" t="s">
        <v>65</v>
      </c>
      <c r="B23" s="13" t="s">
        <v>15</v>
      </c>
      <c r="C23" s="108">
        <v>1800</v>
      </c>
      <c r="D23" s="109">
        <v>600</v>
      </c>
      <c r="E23" s="109">
        <v>40</v>
      </c>
      <c r="F23" s="110">
        <v>2</v>
      </c>
      <c r="G23" s="101">
        <f t="shared" si="3"/>
        <v>9.6000000000000002E-2</v>
      </c>
      <c r="H23" s="102">
        <v>145000</v>
      </c>
      <c r="I23" s="103">
        <f t="shared" si="1"/>
        <v>5800</v>
      </c>
      <c r="J23" s="103">
        <f t="shared" si="2"/>
        <v>6264</v>
      </c>
    </row>
    <row r="24" spans="1:10" x14ac:dyDescent="0.25">
      <c r="A24" s="82" t="s">
        <v>65</v>
      </c>
      <c r="B24" s="13" t="s">
        <v>15</v>
      </c>
      <c r="C24" s="108">
        <v>900</v>
      </c>
      <c r="D24" s="109">
        <v>650</v>
      </c>
      <c r="E24" s="109">
        <v>40</v>
      </c>
      <c r="F24" s="110">
        <v>59</v>
      </c>
      <c r="G24" s="101">
        <f t="shared" si="3"/>
        <v>3.0680000000000001</v>
      </c>
      <c r="H24" s="102">
        <v>145000</v>
      </c>
      <c r="I24" s="103">
        <f t="shared" si="1"/>
        <v>5800</v>
      </c>
      <c r="J24" s="103">
        <f t="shared" si="2"/>
        <v>3393</v>
      </c>
    </row>
    <row r="25" spans="1:10" x14ac:dyDescent="0.25">
      <c r="A25" s="82" t="s">
        <v>65</v>
      </c>
      <c r="B25" s="13" t="s">
        <v>15</v>
      </c>
      <c r="C25" s="108">
        <v>1000</v>
      </c>
      <c r="D25" s="109">
        <v>650</v>
      </c>
      <c r="E25" s="109">
        <v>40</v>
      </c>
      <c r="F25" s="110">
        <v>132</v>
      </c>
      <c r="G25" s="101">
        <f t="shared" si="3"/>
        <v>6.8639999999999999</v>
      </c>
      <c r="H25" s="102">
        <v>145000</v>
      </c>
      <c r="I25" s="103">
        <f t="shared" si="1"/>
        <v>5800</v>
      </c>
      <c r="J25" s="103">
        <f t="shared" si="2"/>
        <v>3770</v>
      </c>
    </row>
    <row r="26" spans="1:10" x14ac:dyDescent="0.25">
      <c r="A26" s="82" t="s">
        <v>65</v>
      </c>
      <c r="B26" s="13" t="s">
        <v>15</v>
      </c>
      <c r="C26" s="108">
        <v>1100</v>
      </c>
      <c r="D26" s="109">
        <v>650</v>
      </c>
      <c r="E26" s="109">
        <v>40</v>
      </c>
      <c r="F26" s="80">
        <v>94</v>
      </c>
      <c r="G26" s="101">
        <f t="shared" si="3"/>
        <v>4.8879999999999999</v>
      </c>
      <c r="H26" s="102">
        <v>145000</v>
      </c>
      <c r="I26" s="103">
        <f t="shared" si="1"/>
        <v>5800</v>
      </c>
      <c r="J26" s="103">
        <f t="shared" si="2"/>
        <v>4147</v>
      </c>
    </row>
    <row r="27" spans="1:10" x14ac:dyDescent="0.25">
      <c r="A27" s="82" t="s">
        <v>65</v>
      </c>
      <c r="B27" s="13" t="s">
        <v>15</v>
      </c>
      <c r="C27" s="105">
        <v>1200</v>
      </c>
      <c r="D27" s="106">
        <v>650</v>
      </c>
      <c r="E27" s="106">
        <v>40</v>
      </c>
      <c r="F27" s="107">
        <v>76</v>
      </c>
      <c r="G27" s="101">
        <f t="shared" si="3"/>
        <v>3.952</v>
      </c>
      <c r="H27" s="102">
        <v>145000</v>
      </c>
      <c r="I27" s="103">
        <f t="shared" si="1"/>
        <v>5800</v>
      </c>
      <c r="J27" s="103">
        <f t="shared" si="2"/>
        <v>4524</v>
      </c>
    </row>
    <row r="28" spans="1:10" x14ac:dyDescent="0.25">
      <c r="A28" s="82" t="s">
        <v>65</v>
      </c>
      <c r="B28" s="13" t="s">
        <v>15</v>
      </c>
      <c r="C28" s="108">
        <v>1300</v>
      </c>
      <c r="D28" s="109">
        <v>650</v>
      </c>
      <c r="E28" s="109">
        <v>40</v>
      </c>
      <c r="F28" s="110">
        <v>14</v>
      </c>
      <c r="G28" s="101">
        <f t="shared" si="3"/>
        <v>0.72799999999999998</v>
      </c>
      <c r="H28" s="102">
        <v>145000</v>
      </c>
      <c r="I28" s="103">
        <f t="shared" si="1"/>
        <v>5800</v>
      </c>
      <c r="J28" s="103">
        <f t="shared" si="2"/>
        <v>4901</v>
      </c>
    </row>
    <row r="29" spans="1:10" x14ac:dyDescent="0.25">
      <c r="A29" s="82" t="s">
        <v>65</v>
      </c>
      <c r="B29" s="13" t="s">
        <v>15</v>
      </c>
      <c r="C29" s="108">
        <v>1400</v>
      </c>
      <c r="D29" s="109">
        <v>650</v>
      </c>
      <c r="E29" s="109">
        <v>40</v>
      </c>
      <c r="F29" s="110">
        <v>14</v>
      </c>
      <c r="G29" s="101">
        <f t="shared" si="3"/>
        <v>0.72799999999999998</v>
      </c>
      <c r="H29" s="102">
        <v>145000</v>
      </c>
      <c r="I29" s="103">
        <f t="shared" si="1"/>
        <v>5800</v>
      </c>
      <c r="J29" s="103">
        <f t="shared" si="2"/>
        <v>5278</v>
      </c>
    </row>
    <row r="30" spans="1:10" x14ac:dyDescent="0.25">
      <c r="A30" s="82" t="s">
        <v>65</v>
      </c>
      <c r="B30" s="13" t="s">
        <v>15</v>
      </c>
      <c r="C30" s="108">
        <v>1500</v>
      </c>
      <c r="D30" s="109">
        <v>650</v>
      </c>
      <c r="E30" s="109">
        <v>40</v>
      </c>
      <c r="F30" s="110">
        <v>31</v>
      </c>
      <c r="G30" s="101">
        <f t="shared" si="3"/>
        <v>1.6120000000000001</v>
      </c>
      <c r="H30" s="102">
        <v>145000</v>
      </c>
      <c r="I30" s="103">
        <f t="shared" si="1"/>
        <v>5800</v>
      </c>
      <c r="J30" s="103">
        <f t="shared" si="2"/>
        <v>5655</v>
      </c>
    </row>
    <row r="31" spans="1:10" x14ac:dyDescent="0.25">
      <c r="A31" s="82" t="s">
        <v>65</v>
      </c>
      <c r="B31" s="13" t="s">
        <v>15</v>
      </c>
      <c r="C31" s="108">
        <v>1600</v>
      </c>
      <c r="D31" s="109">
        <v>650</v>
      </c>
      <c r="E31" s="109">
        <v>40</v>
      </c>
      <c r="F31" s="110">
        <v>29</v>
      </c>
      <c r="G31" s="101">
        <f t="shared" si="3"/>
        <v>1.508</v>
      </c>
      <c r="H31" s="102">
        <v>145000</v>
      </c>
      <c r="I31" s="103">
        <f t="shared" si="1"/>
        <v>5800</v>
      </c>
      <c r="J31" s="103">
        <f t="shared" si="2"/>
        <v>6032</v>
      </c>
    </row>
    <row r="32" spans="1:10" x14ac:dyDescent="0.25">
      <c r="A32" s="82" t="s">
        <v>65</v>
      </c>
      <c r="B32" s="13" t="s">
        <v>15</v>
      </c>
      <c r="C32" s="108">
        <v>1700</v>
      </c>
      <c r="D32" s="109">
        <v>650</v>
      </c>
      <c r="E32" s="109">
        <v>40</v>
      </c>
      <c r="F32" s="110">
        <v>11</v>
      </c>
      <c r="G32" s="101">
        <f t="shared" si="3"/>
        <v>0.57199999999999995</v>
      </c>
      <c r="H32" s="102">
        <v>145000</v>
      </c>
      <c r="I32" s="103">
        <f t="shared" si="1"/>
        <v>5800</v>
      </c>
      <c r="J32" s="103">
        <f t="shared" si="2"/>
        <v>6409</v>
      </c>
    </row>
    <row r="33" spans="1:10" x14ac:dyDescent="0.25">
      <c r="A33" s="82" t="s">
        <v>65</v>
      </c>
      <c r="B33" s="13" t="s">
        <v>15</v>
      </c>
      <c r="C33" s="108">
        <v>1800</v>
      </c>
      <c r="D33" s="109">
        <v>650</v>
      </c>
      <c r="E33" s="109">
        <v>40</v>
      </c>
      <c r="F33" s="110">
        <v>24</v>
      </c>
      <c r="G33" s="101">
        <f t="shared" si="3"/>
        <v>1.248</v>
      </c>
      <c r="H33" s="102">
        <v>145000</v>
      </c>
      <c r="I33" s="103">
        <f t="shared" si="1"/>
        <v>5800</v>
      </c>
      <c r="J33" s="103">
        <f t="shared" si="2"/>
        <v>6786</v>
      </c>
    </row>
    <row r="34" spans="1:10" x14ac:dyDescent="0.25">
      <c r="A34" s="82" t="s">
        <v>65</v>
      </c>
      <c r="B34" s="13" t="s">
        <v>15</v>
      </c>
      <c r="C34" s="108">
        <v>1900</v>
      </c>
      <c r="D34" s="109">
        <v>650</v>
      </c>
      <c r="E34" s="109">
        <v>40</v>
      </c>
      <c r="F34" s="110">
        <v>5</v>
      </c>
      <c r="G34" s="101">
        <f t="shared" si="3"/>
        <v>0.26</v>
      </c>
      <c r="H34" s="102">
        <v>145000</v>
      </c>
      <c r="I34" s="103">
        <f t="shared" si="1"/>
        <v>5800</v>
      </c>
      <c r="J34" s="103">
        <f t="shared" si="2"/>
        <v>7163</v>
      </c>
    </row>
    <row r="35" spans="1:10" x14ac:dyDescent="0.25">
      <c r="A35" s="82" t="s">
        <v>65</v>
      </c>
      <c r="B35" s="13" t="s">
        <v>15</v>
      </c>
      <c r="C35" s="108">
        <v>2000</v>
      </c>
      <c r="D35" s="109">
        <v>650</v>
      </c>
      <c r="E35" s="109">
        <v>40</v>
      </c>
      <c r="F35" s="110">
        <v>27</v>
      </c>
      <c r="G35" s="101">
        <f t="shared" si="3"/>
        <v>1.4039999999999999</v>
      </c>
      <c r="H35" s="102">
        <v>145000</v>
      </c>
      <c r="I35" s="103">
        <f t="shared" si="1"/>
        <v>5800</v>
      </c>
      <c r="J35" s="103">
        <f t="shared" si="2"/>
        <v>7540</v>
      </c>
    </row>
    <row r="36" spans="1:10" x14ac:dyDescent="0.25">
      <c r="A36" s="82" t="s">
        <v>65</v>
      </c>
      <c r="B36" s="13" t="s">
        <v>15</v>
      </c>
      <c r="C36" s="108">
        <v>2200</v>
      </c>
      <c r="D36" s="109">
        <v>650</v>
      </c>
      <c r="E36" s="109">
        <v>40</v>
      </c>
      <c r="F36" s="110">
        <v>4</v>
      </c>
      <c r="G36" s="101">
        <f t="shared" si="3"/>
        <v>0.20799999999999999</v>
      </c>
      <c r="H36" s="102">
        <v>145000</v>
      </c>
      <c r="I36" s="103">
        <f t="shared" si="1"/>
        <v>5800</v>
      </c>
      <c r="J36" s="103">
        <f t="shared" si="2"/>
        <v>8294</v>
      </c>
    </row>
    <row r="37" spans="1:10" x14ac:dyDescent="0.25">
      <c r="A37" s="82" t="s">
        <v>65</v>
      </c>
      <c r="B37" s="13" t="s">
        <v>15</v>
      </c>
      <c r="C37" s="108">
        <v>2400</v>
      </c>
      <c r="D37" s="109">
        <v>650</v>
      </c>
      <c r="E37" s="109">
        <v>40</v>
      </c>
      <c r="F37" s="110">
        <v>7</v>
      </c>
      <c r="G37" s="101">
        <f t="shared" si="3"/>
        <v>0.36399999999999999</v>
      </c>
      <c r="H37" s="102">
        <v>145000</v>
      </c>
      <c r="I37" s="103">
        <f t="shared" si="1"/>
        <v>5800</v>
      </c>
      <c r="J37" s="103">
        <f t="shared" si="2"/>
        <v>9048</v>
      </c>
    </row>
    <row r="38" spans="1:10" x14ac:dyDescent="0.25">
      <c r="A38" s="82" t="s">
        <v>65</v>
      </c>
      <c r="B38" s="13" t="s">
        <v>15</v>
      </c>
      <c r="C38" s="108">
        <v>2500</v>
      </c>
      <c r="D38" s="109">
        <v>650</v>
      </c>
      <c r="E38" s="109">
        <v>40</v>
      </c>
      <c r="F38" s="110">
        <v>1</v>
      </c>
      <c r="G38" s="101">
        <f t="shared" si="3"/>
        <v>5.1999999999999998E-2</v>
      </c>
      <c r="H38" s="102">
        <v>145000</v>
      </c>
      <c r="I38" s="103">
        <f t="shared" si="1"/>
        <v>5800</v>
      </c>
      <c r="J38" s="103">
        <f t="shared" si="2"/>
        <v>9425</v>
      </c>
    </row>
    <row r="39" spans="1:10" x14ac:dyDescent="0.25">
      <c r="A39" s="82" t="s">
        <v>65</v>
      </c>
      <c r="B39" s="13" t="s">
        <v>15</v>
      </c>
      <c r="C39" s="108">
        <v>2600</v>
      </c>
      <c r="D39" s="109">
        <v>650</v>
      </c>
      <c r="E39" s="109">
        <v>40</v>
      </c>
      <c r="F39" s="110">
        <v>5</v>
      </c>
      <c r="G39" s="101">
        <f t="shared" si="3"/>
        <v>0.26</v>
      </c>
      <c r="H39" s="102">
        <v>145000</v>
      </c>
      <c r="I39" s="103">
        <f t="shared" si="1"/>
        <v>5800</v>
      </c>
      <c r="J39" s="103">
        <f t="shared" si="2"/>
        <v>9802</v>
      </c>
    </row>
    <row r="40" spans="1:10" x14ac:dyDescent="0.25">
      <c r="A40" s="82" t="s">
        <v>65</v>
      </c>
      <c r="B40" s="13" t="s">
        <v>15</v>
      </c>
      <c r="C40" s="108">
        <v>2800</v>
      </c>
      <c r="D40" s="109">
        <v>650</v>
      </c>
      <c r="E40" s="109">
        <v>40</v>
      </c>
      <c r="F40" s="110">
        <v>3</v>
      </c>
      <c r="G40" s="101">
        <f t="shared" si="3"/>
        <v>0.156</v>
      </c>
      <c r="H40" s="102">
        <v>145000</v>
      </c>
      <c r="I40" s="103">
        <f t="shared" si="1"/>
        <v>5800</v>
      </c>
      <c r="J40" s="103">
        <f t="shared" si="2"/>
        <v>10556</v>
      </c>
    </row>
    <row r="41" spans="1:10" x14ac:dyDescent="0.25">
      <c r="A41" s="82" t="s">
        <v>65</v>
      </c>
      <c r="B41" s="13" t="s">
        <v>15</v>
      </c>
      <c r="C41" s="108">
        <v>3600</v>
      </c>
      <c r="D41" s="109">
        <v>650</v>
      </c>
      <c r="E41" s="109">
        <v>40</v>
      </c>
      <c r="F41" s="110">
        <v>1</v>
      </c>
      <c r="G41" s="101">
        <f t="shared" si="3"/>
        <v>5.1999999999999998E-2</v>
      </c>
      <c r="H41" s="102">
        <v>155000</v>
      </c>
      <c r="I41" s="103">
        <f t="shared" si="1"/>
        <v>6200</v>
      </c>
      <c r="J41" s="103">
        <f t="shared" si="2"/>
        <v>14508</v>
      </c>
    </row>
    <row r="42" spans="1:10" x14ac:dyDescent="0.25">
      <c r="A42" s="82" t="s">
        <v>65</v>
      </c>
      <c r="B42" s="13" t="s">
        <v>15</v>
      </c>
      <c r="C42" s="108">
        <v>1800</v>
      </c>
      <c r="D42" s="109">
        <v>900</v>
      </c>
      <c r="E42" s="109">
        <v>40</v>
      </c>
      <c r="F42" s="110">
        <v>13</v>
      </c>
      <c r="G42" s="101">
        <f t="shared" si="3"/>
        <v>0.93600000000000005</v>
      </c>
      <c r="H42" s="102">
        <v>145000</v>
      </c>
      <c r="I42" s="103">
        <f t="shared" si="1"/>
        <v>5800</v>
      </c>
      <c r="J42" s="103">
        <f t="shared" si="2"/>
        <v>9396</v>
      </c>
    </row>
    <row r="43" spans="1:10" x14ac:dyDescent="0.25">
      <c r="A43" s="82" t="s">
        <v>65</v>
      </c>
      <c r="B43" s="13" t="s">
        <v>15</v>
      </c>
      <c r="C43" s="108">
        <v>2000</v>
      </c>
      <c r="D43" s="109">
        <v>900</v>
      </c>
      <c r="E43" s="109">
        <v>40</v>
      </c>
      <c r="F43" s="110">
        <v>11</v>
      </c>
      <c r="G43" s="101">
        <f t="shared" si="3"/>
        <v>0.79200000000000004</v>
      </c>
      <c r="H43" s="102">
        <v>145000</v>
      </c>
      <c r="I43" s="103">
        <f t="shared" si="1"/>
        <v>5800</v>
      </c>
      <c r="J43" s="103">
        <f t="shared" si="2"/>
        <v>10440</v>
      </c>
    </row>
    <row r="44" spans="1:10" x14ac:dyDescent="0.25">
      <c r="A44" s="82" t="s">
        <v>65</v>
      </c>
      <c r="B44" s="48" t="s">
        <v>17</v>
      </c>
      <c r="C44" s="108">
        <v>1100</v>
      </c>
      <c r="D44" s="109">
        <v>600</v>
      </c>
      <c r="E44" s="109">
        <v>40</v>
      </c>
      <c r="F44" s="110">
        <v>15</v>
      </c>
      <c r="G44" s="101">
        <f t="shared" si="3"/>
        <v>0.72</v>
      </c>
      <c r="H44" s="102">
        <v>135000</v>
      </c>
      <c r="I44" s="103">
        <f t="shared" si="1"/>
        <v>5400</v>
      </c>
      <c r="J44" s="103">
        <f t="shared" si="2"/>
        <v>3564</v>
      </c>
    </row>
    <row r="45" spans="1:10" x14ac:dyDescent="0.25">
      <c r="A45" s="82" t="s">
        <v>65</v>
      </c>
      <c r="B45" s="48" t="s">
        <v>17</v>
      </c>
      <c r="C45" s="108">
        <v>1500</v>
      </c>
      <c r="D45" s="109">
        <v>650</v>
      </c>
      <c r="E45" s="109">
        <v>40</v>
      </c>
      <c r="F45" s="110">
        <v>5</v>
      </c>
      <c r="G45" s="101">
        <f t="shared" si="3"/>
        <v>0.26</v>
      </c>
      <c r="H45" s="102">
        <v>135000</v>
      </c>
      <c r="I45" s="103">
        <f t="shared" si="1"/>
        <v>5400</v>
      </c>
      <c r="J45" s="103">
        <f t="shared" si="2"/>
        <v>5265</v>
      </c>
    </row>
    <row r="46" spans="1:10" x14ac:dyDescent="0.25">
      <c r="A46" s="82" t="s">
        <v>65</v>
      </c>
      <c r="B46" s="48" t="s">
        <v>17</v>
      </c>
      <c r="C46" s="108">
        <v>1700</v>
      </c>
      <c r="D46" s="109">
        <v>650</v>
      </c>
      <c r="E46" s="109">
        <v>40</v>
      </c>
      <c r="F46" s="110">
        <v>2</v>
      </c>
      <c r="G46" s="101">
        <f t="shared" si="3"/>
        <v>0.104</v>
      </c>
      <c r="H46" s="102">
        <v>135000</v>
      </c>
      <c r="I46" s="103">
        <f t="shared" si="1"/>
        <v>5400</v>
      </c>
      <c r="J46" s="103">
        <f t="shared" si="2"/>
        <v>5967</v>
      </c>
    </row>
    <row r="47" spans="1:10" x14ac:dyDescent="0.25">
      <c r="A47" s="82" t="s">
        <v>65</v>
      </c>
      <c r="B47" s="48" t="s">
        <v>17</v>
      </c>
      <c r="C47" s="108">
        <v>1800</v>
      </c>
      <c r="D47" s="109">
        <v>650</v>
      </c>
      <c r="E47" s="109">
        <v>40</v>
      </c>
      <c r="F47" s="110">
        <v>8</v>
      </c>
      <c r="G47" s="101">
        <f t="shared" si="3"/>
        <v>0.41599999999999998</v>
      </c>
      <c r="H47" s="102">
        <v>135000</v>
      </c>
      <c r="I47" s="103">
        <f t="shared" si="1"/>
        <v>5400</v>
      </c>
      <c r="J47" s="103">
        <f t="shared" si="2"/>
        <v>6318</v>
      </c>
    </row>
    <row r="48" spans="1:10" x14ac:dyDescent="0.25">
      <c r="A48" s="82" t="s">
        <v>65</v>
      </c>
      <c r="B48" s="48" t="s">
        <v>17</v>
      </c>
      <c r="C48" s="108">
        <v>2000</v>
      </c>
      <c r="D48" s="109">
        <v>650</v>
      </c>
      <c r="E48" s="109">
        <v>40</v>
      </c>
      <c r="F48" s="110">
        <v>7</v>
      </c>
      <c r="G48" s="101">
        <f t="shared" si="3"/>
        <v>0.36399999999999999</v>
      </c>
      <c r="H48" s="102">
        <v>135000</v>
      </c>
      <c r="I48" s="103">
        <f t="shared" si="1"/>
        <v>5400</v>
      </c>
      <c r="J48" s="103">
        <f t="shared" si="2"/>
        <v>7020</v>
      </c>
    </row>
    <row r="49" spans="1:10" x14ac:dyDescent="0.25">
      <c r="A49" s="82" t="s">
        <v>65</v>
      </c>
      <c r="B49" s="48" t="s">
        <v>17</v>
      </c>
      <c r="C49" s="108">
        <v>2200</v>
      </c>
      <c r="D49" s="109">
        <v>650</v>
      </c>
      <c r="E49" s="109">
        <v>40</v>
      </c>
      <c r="F49" s="110">
        <v>2</v>
      </c>
      <c r="G49" s="101">
        <f t="shared" si="3"/>
        <v>0.104</v>
      </c>
      <c r="H49" s="102">
        <v>135000</v>
      </c>
      <c r="I49" s="103">
        <f t="shared" si="1"/>
        <v>5400</v>
      </c>
      <c r="J49" s="103">
        <f t="shared" si="2"/>
        <v>7722</v>
      </c>
    </row>
    <row r="50" spans="1:10" x14ac:dyDescent="0.25">
      <c r="A50" s="82" t="s">
        <v>65</v>
      </c>
      <c r="B50" s="48" t="s">
        <v>17</v>
      </c>
      <c r="C50" s="108">
        <v>2600</v>
      </c>
      <c r="D50" s="111">
        <v>600</v>
      </c>
      <c r="E50" s="109">
        <v>40</v>
      </c>
      <c r="F50" s="110">
        <v>5</v>
      </c>
      <c r="G50" s="101">
        <f t="shared" si="3"/>
        <v>0.24</v>
      </c>
      <c r="H50" s="102">
        <v>135000</v>
      </c>
      <c r="I50" s="103">
        <f t="shared" si="1"/>
        <v>5400</v>
      </c>
      <c r="J50" s="103">
        <f t="shared" si="2"/>
        <v>8424</v>
      </c>
    </row>
    <row r="51" spans="1:10" x14ac:dyDescent="0.25">
      <c r="A51" s="82" t="s">
        <v>65</v>
      </c>
      <c r="B51" s="48" t="s">
        <v>17</v>
      </c>
      <c r="C51" s="108">
        <v>2600</v>
      </c>
      <c r="D51" s="109">
        <v>650</v>
      </c>
      <c r="E51" s="109">
        <v>40</v>
      </c>
      <c r="F51" s="110">
        <v>4</v>
      </c>
      <c r="G51" s="101">
        <f t="shared" si="3"/>
        <v>0.20799999999999999</v>
      </c>
      <c r="H51" s="102">
        <v>135000</v>
      </c>
      <c r="I51" s="103">
        <f t="shared" si="1"/>
        <v>5400</v>
      </c>
      <c r="J51" s="103">
        <f t="shared" si="2"/>
        <v>9126</v>
      </c>
    </row>
    <row r="52" spans="1:10" x14ac:dyDescent="0.25">
      <c r="A52" s="112" t="s">
        <v>65</v>
      </c>
      <c r="B52" s="113" t="s">
        <v>66</v>
      </c>
      <c r="C52" s="102">
        <v>3000</v>
      </c>
      <c r="D52" s="102">
        <v>600</v>
      </c>
      <c r="E52" s="102">
        <v>18</v>
      </c>
      <c r="F52" s="102">
        <f>168-2-2-1-8-3-6-2-2-4-1-2-15</f>
        <v>120</v>
      </c>
      <c r="G52" s="114">
        <f t="shared" ref="G52:G55" si="4">F52*E52*D52*C52/1000/1000/1000</f>
        <v>3.8879999999999999</v>
      </c>
      <c r="H52" s="102">
        <v>105000</v>
      </c>
      <c r="I52" s="114">
        <f t="shared" si="1"/>
        <v>1890</v>
      </c>
      <c r="J52" s="114">
        <f t="shared" si="2"/>
        <v>3402</v>
      </c>
    </row>
    <row r="53" spans="1:10" x14ac:dyDescent="0.25">
      <c r="A53" s="112" t="s">
        <v>65</v>
      </c>
      <c r="B53" s="113" t="s">
        <v>67</v>
      </c>
      <c r="C53" s="102">
        <v>3000</v>
      </c>
      <c r="D53" s="102">
        <v>600</v>
      </c>
      <c r="E53" s="102">
        <v>18</v>
      </c>
      <c r="F53" s="102">
        <v>153</v>
      </c>
      <c r="G53" s="114">
        <f t="shared" si="4"/>
        <v>4.9571999999999994</v>
      </c>
      <c r="H53" s="102">
        <v>95000</v>
      </c>
      <c r="I53" s="114">
        <f t="shared" si="1"/>
        <v>1710</v>
      </c>
      <c r="J53" s="114">
        <f t="shared" si="2"/>
        <v>3078</v>
      </c>
    </row>
    <row r="54" spans="1:10" x14ac:dyDescent="0.25">
      <c r="A54" s="82" t="s">
        <v>65</v>
      </c>
      <c r="B54" s="48" t="s">
        <v>68</v>
      </c>
      <c r="C54" s="97">
        <v>2000</v>
      </c>
      <c r="D54" s="97">
        <v>800</v>
      </c>
      <c r="E54" s="97">
        <v>35</v>
      </c>
      <c r="F54" s="97">
        <f>13-3</f>
        <v>10</v>
      </c>
      <c r="G54" s="101">
        <f t="shared" si="4"/>
        <v>0.56000000000000005</v>
      </c>
      <c r="H54" s="102">
        <v>95000</v>
      </c>
      <c r="I54" s="103">
        <f t="shared" si="1"/>
        <v>3325</v>
      </c>
      <c r="J54" s="103">
        <f t="shared" si="2"/>
        <v>5320</v>
      </c>
    </row>
    <row r="55" spans="1:10" x14ac:dyDescent="0.25">
      <c r="A55" s="82" t="s">
        <v>65</v>
      </c>
      <c r="B55" s="48" t="s">
        <v>68</v>
      </c>
      <c r="C55" s="97">
        <v>3000</v>
      </c>
      <c r="D55" s="97">
        <v>800</v>
      </c>
      <c r="E55" s="97">
        <v>35</v>
      </c>
      <c r="F55" s="97">
        <f>13-2-3-3-1-1</f>
        <v>3</v>
      </c>
      <c r="G55" s="101">
        <f t="shared" si="4"/>
        <v>0.252</v>
      </c>
      <c r="H55" s="102">
        <v>95000</v>
      </c>
      <c r="I55" s="103">
        <f t="shared" si="1"/>
        <v>3325</v>
      </c>
      <c r="J55" s="103">
        <f t="shared" si="2"/>
        <v>7980</v>
      </c>
    </row>
    <row r="56" spans="1:10" x14ac:dyDescent="0.25">
      <c r="A56" s="83"/>
      <c r="G56" s="115">
        <f>SUM(G7:G55)</f>
        <v>54.784319999999987</v>
      </c>
    </row>
    <row r="59" spans="1:10" x14ac:dyDescent="0.25">
      <c r="A59" s="116" t="s">
        <v>69</v>
      </c>
    </row>
    <row r="60" spans="1:10" x14ac:dyDescent="0.25">
      <c r="A60" s="117" t="s">
        <v>70</v>
      </c>
    </row>
    <row r="61" spans="1:10" x14ac:dyDescent="0.25">
      <c r="A61" s="117" t="s">
        <v>71</v>
      </c>
    </row>
    <row r="62" spans="1:10" x14ac:dyDescent="0.25">
      <c r="A62" s="117" t="s">
        <v>72</v>
      </c>
    </row>
    <row r="63" spans="1:10" x14ac:dyDescent="0.25">
      <c r="A63" s="117" t="s">
        <v>73</v>
      </c>
    </row>
    <row r="64" spans="1:10" x14ac:dyDescent="0.25">
      <c r="A64" s="117" t="s">
        <v>74</v>
      </c>
    </row>
    <row r="65" spans="1:1" x14ac:dyDescent="0.25">
      <c r="A65" s="117" t="s">
        <v>75</v>
      </c>
    </row>
    <row r="66" spans="1:1" x14ac:dyDescent="0.25">
      <c r="A66" s="117" t="s">
        <v>76</v>
      </c>
    </row>
  </sheetData>
  <mergeCells count="1">
    <mergeCell ref="A4:J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03"/>
  <sheetViews>
    <sheetView workbookViewId="0">
      <selection activeCell="E20" sqref="E20"/>
    </sheetView>
  </sheetViews>
  <sheetFormatPr defaultColWidth="14.42578125" defaultRowHeight="15" customHeight="1" x14ac:dyDescent="0.25"/>
  <cols>
    <col min="1" max="1" width="8.7109375" customWidth="1"/>
    <col min="2" max="2" width="12.5703125" customWidth="1"/>
    <col min="3" max="3" width="29" customWidth="1"/>
    <col min="4" max="8" width="8.7109375" customWidth="1"/>
    <col min="9" max="9" width="13.42578125" customWidth="1"/>
    <col min="10" max="10" width="14" customWidth="1"/>
    <col min="11" max="11" width="14.28515625" customWidth="1"/>
    <col min="12" max="20" width="8.7109375" customWidth="1"/>
  </cols>
  <sheetData>
    <row r="2" spans="1:1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1" x14ac:dyDescent="0.25">
      <c r="A4" s="118" t="s">
        <v>77</v>
      </c>
      <c r="B4" s="74"/>
      <c r="C4" s="74"/>
      <c r="D4" s="74"/>
      <c r="E4" s="74"/>
      <c r="F4" s="74"/>
      <c r="G4" s="74"/>
      <c r="H4" s="74"/>
      <c r="I4" s="74"/>
      <c r="J4" s="74"/>
      <c r="K4" s="74"/>
    </row>
    <row r="5" spans="1:11" x14ac:dyDescent="0.25">
      <c r="A5" s="119"/>
      <c r="B5" s="120"/>
      <c r="C5" s="121" t="s">
        <v>5</v>
      </c>
      <c r="D5" s="121" t="s">
        <v>6</v>
      </c>
      <c r="E5" s="121" t="s">
        <v>7</v>
      </c>
      <c r="F5" s="121" t="s">
        <v>8</v>
      </c>
      <c r="G5" s="121" t="s">
        <v>9</v>
      </c>
      <c r="H5" s="121" t="s">
        <v>10</v>
      </c>
      <c r="I5" s="122" t="s">
        <v>38</v>
      </c>
      <c r="J5" s="122" t="s">
        <v>39</v>
      </c>
      <c r="K5" s="122" t="s">
        <v>40</v>
      </c>
    </row>
    <row r="6" spans="1:11" x14ac:dyDescent="0.25">
      <c r="A6" s="33" t="s">
        <v>14</v>
      </c>
      <c r="B6" s="123" t="s">
        <v>78</v>
      </c>
      <c r="C6" s="124" t="s">
        <v>79</v>
      </c>
      <c r="D6" s="125">
        <v>900</v>
      </c>
      <c r="E6" s="125">
        <v>50</v>
      </c>
      <c r="F6" s="125">
        <v>50</v>
      </c>
      <c r="G6" s="125">
        <f>202-20-20-20-5-1-44-30-20-18</f>
        <v>24</v>
      </c>
      <c r="H6" s="126">
        <f t="shared" ref="H6:H8" si="0">G6*F6*E6*D6/1000/1000/1000</f>
        <v>5.3999999999999999E-2</v>
      </c>
      <c r="I6" s="89">
        <v>255000</v>
      </c>
      <c r="J6" s="127">
        <f t="shared" ref="J6:J8" si="1">I6/1000*F6</f>
        <v>12750</v>
      </c>
      <c r="K6" s="127">
        <f t="shared" ref="K6:K8" si="2">D6*E6*F6*I6/1000/1000/1000</f>
        <v>573.75</v>
      </c>
    </row>
    <row r="7" spans="1:11" x14ac:dyDescent="0.25">
      <c r="A7" s="128" t="s">
        <v>14</v>
      </c>
      <c r="B7" s="129" t="s">
        <v>78</v>
      </c>
      <c r="C7" s="130" t="s">
        <v>79</v>
      </c>
      <c r="D7" s="127">
        <v>900</v>
      </c>
      <c r="E7" s="127">
        <v>60</v>
      </c>
      <c r="F7" s="127">
        <v>60</v>
      </c>
      <c r="G7" s="127">
        <f>1303-10-4-45-15-2-40-12-120-8-20-4-10-8-20-1-12-24-4-108-60-5-12</f>
        <v>759</v>
      </c>
      <c r="H7" s="127">
        <f t="shared" si="0"/>
        <v>2.4591599999999998</v>
      </c>
      <c r="I7" s="89">
        <v>160000</v>
      </c>
      <c r="J7" s="127">
        <f t="shared" si="1"/>
        <v>9600</v>
      </c>
      <c r="K7" s="127">
        <f t="shared" si="2"/>
        <v>518.4</v>
      </c>
    </row>
    <row r="8" spans="1:11" x14ac:dyDescent="0.25">
      <c r="A8" s="33" t="s">
        <v>14</v>
      </c>
      <c r="B8" s="123" t="s">
        <v>78</v>
      </c>
      <c r="C8" s="123" t="s">
        <v>80</v>
      </c>
      <c r="D8" s="131">
        <v>3000</v>
      </c>
      <c r="E8" s="131">
        <v>80</v>
      </c>
      <c r="F8" s="131">
        <v>80</v>
      </c>
      <c r="G8" s="131">
        <f>167-4-2-4-2-12-3-1-2</f>
        <v>137</v>
      </c>
      <c r="H8" s="126">
        <f t="shared" si="0"/>
        <v>2.6304000000000003</v>
      </c>
      <c r="I8" s="89">
        <v>170000</v>
      </c>
      <c r="J8" s="127">
        <f t="shared" si="1"/>
        <v>13600</v>
      </c>
      <c r="K8" s="127">
        <f t="shared" si="2"/>
        <v>3264</v>
      </c>
    </row>
    <row r="9" spans="1:11" x14ac:dyDescent="0.25">
      <c r="A9" s="132"/>
      <c r="B9" s="133"/>
      <c r="C9" s="133"/>
      <c r="D9" s="134"/>
      <c r="E9" s="134"/>
      <c r="F9" s="134"/>
      <c r="G9" s="134"/>
      <c r="H9" s="135"/>
      <c r="I9" s="136"/>
      <c r="J9" s="135"/>
      <c r="K9" s="135"/>
    </row>
    <row r="10" spans="1:11" x14ac:dyDescent="0.25">
      <c r="A10" s="129" t="s">
        <v>41</v>
      </c>
      <c r="B10" s="123" t="s">
        <v>81</v>
      </c>
      <c r="C10" s="123" t="s">
        <v>80</v>
      </c>
      <c r="D10" s="131">
        <v>3600</v>
      </c>
      <c r="E10" s="131">
        <v>80</v>
      </c>
      <c r="F10" s="131">
        <v>80</v>
      </c>
      <c r="G10" s="131">
        <f>40+36-5-2-1-1-5-7-3-6-1-3</f>
        <v>42</v>
      </c>
      <c r="H10" s="126">
        <f>G10*F10*E10*D10/1000/1000/1000</f>
        <v>0.96767999999999998</v>
      </c>
      <c r="I10" s="137">
        <v>163000</v>
      </c>
      <c r="J10" s="126">
        <f>I10/1000*F10</f>
        <v>13040</v>
      </c>
      <c r="K10" s="126">
        <f>D10*E10*F10*I10/1000/1000/1000</f>
        <v>3755.52</v>
      </c>
    </row>
    <row r="11" spans="1:11" x14ac:dyDescent="0.25">
      <c r="A11" s="72"/>
      <c r="B11" s="72"/>
      <c r="C11" s="72"/>
      <c r="D11" s="72"/>
      <c r="E11" s="72"/>
      <c r="F11" s="72"/>
      <c r="G11" s="72"/>
      <c r="H11" s="72"/>
      <c r="I11" s="72"/>
      <c r="J11" s="72"/>
      <c r="K11" s="72"/>
    </row>
    <row r="12" spans="1:11" x14ac:dyDescent="0.25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2"/>
    </row>
    <row r="13" spans="1:11" x14ac:dyDescent="0.25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</row>
    <row r="14" spans="1:1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Дуб</vt:lpstr>
      <vt:lpstr>Ясень</vt:lpstr>
      <vt:lpstr>Дуб ДВ</vt:lpstr>
      <vt:lpstr>Ясень ДВ</vt:lpstr>
      <vt:lpstr>Лиственница</vt:lpstr>
      <vt:lpstr>Заготовки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</dc:creator>
  <cp:lastModifiedBy>Лариса</cp:lastModifiedBy>
  <dcterms:created xsi:type="dcterms:W3CDTF">2015-06-05T18:19:34Z</dcterms:created>
  <dcterms:modified xsi:type="dcterms:W3CDTF">2023-01-26T08:00:38Z</dcterms:modified>
</cp:coreProperties>
</file>