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https://d.docs.live.net/1a85fee4c68f1904/"/>
    </mc:Choice>
  </mc:AlternateContent>
  <xr:revisionPtr revIDLastSave="6" documentId="8_{34C5F609-1219-4528-9D5E-ADD644178EBD}" xr6:coauthVersionLast="47" xr6:coauthVersionMax="47" xr10:uidLastSave="{11FE5704-E525-4AD8-95F2-305F70653692}"/>
  <bookViews>
    <workbookView xWindow="-108" yWindow="-108" windowWidth="23256" windowHeight="12576" firstSheet="2" activeTab="2" xr2:uid="{00000000-000D-0000-FFFF-FFFF00000000}"/>
  </bookViews>
  <sheets>
    <sheet name="Ступени" sheetId="10" state="hidden" r:id="rId1"/>
    <sheet name="Столешницы" sheetId="9" state="hidden" r:id="rId2"/>
    <sheet name="Мебельный щит" sheetId="8" r:id="rId3"/>
    <sheet name="Лист1" sheetId="11" r:id="rId4"/>
    <sheet name="Массивная паркетная доска" sheetId="6" state="hidden" r:id="rId5"/>
    <sheet name="Дубовая ламель" sheetId="3" state="hidden" r:id="rId6"/>
    <sheet name="Рейки" sheetId="1" state="hidden" r:id="rId7"/>
    <sheet name="Инженерная доска" sheetId="2" state="hidden" r:id="rId8"/>
  </sheet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6" i="8" l="1"/>
  <c r="C37" i="8"/>
  <c r="C35" i="8"/>
  <c r="C30" i="8"/>
  <c r="C31" i="8"/>
  <c r="C29" i="8"/>
  <c r="C24" i="8"/>
  <c r="C22" i="8"/>
  <c r="C16" i="9"/>
  <c r="C73" i="9"/>
  <c r="C12" i="8"/>
  <c r="C21" i="9"/>
  <c r="C11" i="9"/>
  <c r="C13" i="8"/>
  <c r="C69" i="9"/>
  <c r="C7" i="10"/>
  <c r="C19" i="10"/>
  <c r="C37" i="10"/>
  <c r="C101" i="10"/>
  <c r="D101" i="10"/>
  <c r="C100" i="10"/>
  <c r="D100" i="10"/>
  <c r="C99" i="10"/>
  <c r="D99" i="10"/>
  <c r="C98" i="10"/>
  <c r="D98" i="10"/>
  <c r="C97" i="10"/>
  <c r="D97" i="10"/>
  <c r="C96" i="10"/>
  <c r="D96" i="10"/>
  <c r="C93" i="10"/>
  <c r="D93" i="10"/>
  <c r="C92" i="10"/>
  <c r="D92" i="10"/>
  <c r="C91" i="10"/>
  <c r="D91" i="10"/>
  <c r="C90" i="10"/>
  <c r="D90" i="10"/>
  <c r="C89" i="10"/>
  <c r="D89" i="10"/>
  <c r="C88" i="10"/>
  <c r="D88" i="10"/>
  <c r="C85" i="10"/>
  <c r="D85" i="10"/>
  <c r="C84" i="10"/>
  <c r="D84" i="10"/>
  <c r="C83" i="10"/>
  <c r="D83" i="10"/>
  <c r="C82" i="10"/>
  <c r="D82" i="10"/>
  <c r="C81" i="10"/>
  <c r="D81" i="10"/>
  <c r="C80" i="10"/>
  <c r="D80" i="10"/>
  <c r="C79" i="10"/>
  <c r="D79" i="10"/>
  <c r="C77" i="10"/>
  <c r="D77" i="10"/>
  <c r="C76" i="10"/>
  <c r="D76" i="10"/>
  <c r="C75" i="10"/>
  <c r="D75" i="10"/>
  <c r="C74" i="10"/>
  <c r="D74" i="10"/>
  <c r="C73" i="10"/>
  <c r="D73" i="10"/>
  <c r="C72" i="10"/>
  <c r="D72" i="10"/>
  <c r="C71" i="10"/>
  <c r="D71" i="10"/>
  <c r="C69" i="10"/>
  <c r="D69" i="10"/>
  <c r="C68" i="10"/>
  <c r="D68" i="10"/>
  <c r="C67" i="10"/>
  <c r="D67" i="10"/>
  <c r="C66" i="10"/>
  <c r="D66" i="10"/>
  <c r="C65" i="10"/>
  <c r="D65" i="10"/>
  <c r="C64" i="10"/>
  <c r="D64" i="10"/>
  <c r="C61" i="10"/>
  <c r="D61" i="10"/>
  <c r="C60" i="10"/>
  <c r="D60" i="10"/>
  <c r="C59" i="10"/>
  <c r="D59" i="10"/>
  <c r="C58" i="10"/>
  <c r="D58" i="10"/>
  <c r="C57" i="10"/>
  <c r="D57" i="10"/>
  <c r="C56" i="10"/>
  <c r="D56" i="10"/>
  <c r="C55" i="10"/>
  <c r="D55" i="10"/>
  <c r="C63" i="10"/>
  <c r="D63" i="10"/>
  <c r="C87" i="10"/>
  <c r="D87" i="10"/>
  <c r="C95" i="10"/>
  <c r="D95" i="10"/>
  <c r="C11" i="10"/>
  <c r="C114" i="9"/>
  <c r="C147" i="9"/>
  <c r="C113" i="9"/>
  <c r="C146" i="9"/>
  <c r="C112" i="9"/>
  <c r="C145" i="9"/>
  <c r="C111" i="9"/>
  <c r="C144" i="9"/>
  <c r="C110" i="9"/>
  <c r="C143" i="9"/>
  <c r="C109" i="9"/>
  <c r="C142" i="9"/>
  <c r="C108" i="9"/>
  <c r="C141" i="9"/>
  <c r="C107" i="9"/>
  <c r="C140" i="9"/>
  <c r="C106" i="9"/>
  <c r="C139" i="9"/>
  <c r="C105" i="9"/>
  <c r="C138" i="9"/>
  <c r="C103" i="9"/>
  <c r="C136" i="9"/>
  <c r="C102" i="9"/>
  <c r="C135" i="9"/>
  <c r="C101" i="9"/>
  <c r="C134" i="9"/>
  <c r="C100" i="9"/>
  <c r="C133" i="9"/>
  <c r="C99" i="9"/>
  <c r="C132" i="9"/>
  <c r="C98" i="9"/>
  <c r="C131" i="9"/>
  <c r="C97" i="9"/>
  <c r="C130" i="9"/>
  <c r="C96" i="9"/>
  <c r="C129" i="9"/>
  <c r="C95" i="9"/>
  <c r="C128" i="9"/>
  <c r="C94" i="9"/>
  <c r="C127" i="9"/>
  <c r="C115" i="9"/>
  <c r="C126" i="9"/>
  <c r="C137" i="9"/>
  <c r="C41" i="9"/>
  <c r="C24" i="9"/>
  <c r="C165" i="9"/>
  <c r="C164" i="9"/>
  <c r="C163" i="9"/>
  <c r="C162" i="9"/>
  <c r="C161" i="9"/>
  <c r="C160" i="9"/>
  <c r="C159" i="9"/>
  <c r="C158" i="9"/>
  <c r="C13" i="9"/>
  <c r="C8" i="10"/>
  <c r="C16" i="10"/>
  <c r="C20" i="10"/>
  <c r="C23" i="9"/>
  <c r="C13" i="10"/>
  <c r="C74" i="9"/>
  <c r="C35" i="10"/>
  <c r="C32" i="9"/>
  <c r="C9" i="10"/>
  <c r="C17" i="10"/>
  <c r="C61" i="9"/>
  <c r="C25" i="10"/>
  <c r="C46" i="9"/>
  <c r="C12" i="10"/>
  <c r="C18" i="10"/>
  <c r="C55" i="9"/>
  <c r="C72" i="9"/>
  <c r="C32" i="10"/>
  <c r="C14" i="9"/>
  <c r="C22" i="9"/>
  <c r="C43" i="9"/>
  <c r="C56" i="9"/>
  <c r="C60" i="9"/>
  <c r="C10" i="10"/>
  <c r="C15" i="10"/>
  <c r="C21" i="10"/>
  <c r="C15" i="9"/>
  <c r="C34" i="9"/>
  <c r="C42" i="9"/>
  <c r="C33" i="9"/>
  <c r="C89" i="9"/>
  <c r="C122" i="9"/>
  <c r="C86" i="9"/>
  <c r="C119" i="9"/>
  <c r="C39" i="10"/>
  <c r="D39" i="10"/>
  <c r="C49" i="10"/>
  <c r="D49" i="10"/>
  <c r="C50" i="10"/>
  <c r="D50" i="10"/>
  <c r="C41" i="10"/>
  <c r="D41" i="10"/>
  <c r="C23" i="8"/>
  <c r="C92" i="9"/>
  <c r="C125" i="9"/>
  <c r="C87" i="9"/>
  <c r="C120" i="9"/>
  <c r="C90" i="9"/>
  <c r="C123" i="9"/>
  <c r="C51" i="10"/>
  <c r="D51" i="10"/>
  <c r="C47" i="10"/>
  <c r="D47" i="10"/>
  <c r="C40" i="10"/>
  <c r="D40" i="10"/>
  <c r="C91" i="9"/>
  <c r="C124" i="9"/>
  <c r="C83" i="9"/>
  <c r="C116" i="9"/>
  <c r="C40" i="9"/>
  <c r="C45" i="10"/>
  <c r="D45" i="10"/>
  <c r="C48" i="10"/>
  <c r="D48" i="10"/>
  <c r="C43" i="10"/>
  <c r="D43" i="10"/>
  <c r="C53" i="10"/>
  <c r="D53" i="10"/>
  <c r="C52" i="10"/>
  <c r="D52" i="10"/>
  <c r="C85" i="9"/>
  <c r="C118" i="9"/>
  <c r="C84" i="9"/>
  <c r="C117" i="9"/>
  <c r="C88" i="9"/>
  <c r="C121" i="9"/>
  <c r="C33" i="10"/>
  <c r="C27" i="10"/>
  <c r="C70" i="9"/>
  <c r="C53" i="9"/>
  <c r="C26" i="10"/>
  <c r="C28" i="10"/>
  <c r="C81" i="9"/>
  <c r="C52" i="9"/>
  <c r="C23" i="10"/>
  <c r="C51" i="9"/>
  <c r="C62" i="9"/>
  <c r="C29" i="10"/>
  <c r="C75" i="9"/>
  <c r="C44" i="10"/>
  <c r="D44" i="10"/>
  <c r="C42" i="10"/>
  <c r="D42" i="10"/>
  <c r="C24" i="10"/>
  <c r="C65" i="9"/>
  <c r="C36" i="10"/>
  <c r="C80" i="9"/>
  <c r="C47" i="9"/>
  <c r="C34" i="10"/>
  <c r="C31" i="10"/>
  <c r="C79" i="9"/>
  <c r="C54" i="9"/>
  <c r="C71" i="9"/>
  <c r="C45" i="9"/>
  <c r="C66" i="9"/>
  <c r="C64" i="9"/>
  <c r="C77" i="9"/>
  <c r="C28" i="9"/>
  <c r="C26" i="9"/>
  <c r="C7" i="9"/>
  <c r="C78" i="9"/>
  <c r="C9" i="9"/>
  <c r="C48" i="9"/>
  <c r="C36" i="9"/>
  <c r="C49" i="9"/>
  <c r="C67" i="9"/>
  <c r="C76" i="9"/>
  <c r="C27" i="9"/>
  <c r="C57" i="9"/>
  <c r="C35" i="9"/>
  <c r="C18" i="9"/>
  <c r="C68" i="9"/>
  <c r="C37" i="9"/>
  <c r="C50" i="9"/>
  <c r="C58" i="9"/>
  <c r="C17" i="9"/>
  <c r="C59" i="9"/>
  <c r="C8" i="9"/>
  <c r="C19" i="9"/>
  <c r="C39" i="9"/>
  <c r="C10" i="9"/>
  <c r="C38" i="9"/>
  <c r="C20" i="9"/>
  <c r="C12" i="9"/>
  <c r="C30" i="9"/>
  <c r="C29" i="9"/>
  <c r="C31" i="9"/>
</calcChain>
</file>

<file path=xl/sharedStrings.xml><?xml version="1.0" encoding="utf-8"?>
<sst xmlns="http://schemas.openxmlformats.org/spreadsheetml/2006/main" count="438" uniqueCount="160">
  <si>
    <t>StoliPolru</t>
  </si>
  <si>
    <t>Facebook</t>
  </si>
  <si>
    <t>RU, RA, Maikop,  Hanskaia, st. Lenina 143.</t>
  </si>
  <si>
    <t>info@StoliPol.ru</t>
  </si>
  <si>
    <t>@StoliPol</t>
  </si>
  <si>
    <t xml:space="preserve">Сращенный щит дуб </t>
  </si>
  <si>
    <t>Цельноламельный щит дуб</t>
  </si>
  <si>
    <t>РУб/шт.</t>
  </si>
  <si>
    <t>Руб/м3</t>
  </si>
  <si>
    <r>
      <t xml:space="preserve">Сращенный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</si>
  <si>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r>
      <t xml:space="preserve">Сращенный </t>
    </r>
    <r>
      <rPr>
        <b/>
        <sz val="11"/>
        <color theme="1"/>
        <rFont val="Calibri"/>
        <family val="2"/>
        <charset val="204"/>
        <scheme val="minor"/>
      </rPr>
      <t>30mm</t>
    </r>
    <r>
      <rPr>
        <sz val="11"/>
        <color theme="1"/>
        <rFont val="Calibri"/>
        <family val="2"/>
        <charset val="204"/>
        <scheme val="minor"/>
      </rPr>
      <t xml:space="preserve"> 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</si>
  <si>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r>
      <rPr>
        <sz val="11"/>
        <color theme="1"/>
        <rFont val="Calibri"/>
        <family val="2"/>
        <charset val="204"/>
        <scheme val="minor"/>
      </rPr>
      <t xml:space="preserve">Сорт: </t>
    </r>
    <r>
      <rPr>
        <b/>
        <sz val="11"/>
        <color theme="1"/>
        <rFont val="Calibri"/>
        <family val="2"/>
        <charset val="204"/>
        <scheme val="minor"/>
      </rPr>
      <t>Rustic</t>
    </r>
  </si>
  <si>
    <r>
      <rPr>
        <sz val="11"/>
        <color theme="1"/>
        <rFont val="Calibri"/>
        <family val="2"/>
        <charset val="204"/>
        <scheme val="minor"/>
      </rPr>
      <t>Сорт:</t>
    </r>
    <r>
      <rPr>
        <b/>
        <sz val="11"/>
        <color theme="1"/>
        <rFont val="Calibri"/>
        <family val="2"/>
        <charset val="204"/>
        <scheme val="minor"/>
      </rPr>
      <t xml:space="preserve"> Rustic</t>
    </r>
  </si>
  <si>
    <r>
      <t xml:space="preserve">Сращенный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
Сорт:</t>
    </r>
    <r>
      <rPr>
        <b/>
        <sz val="11"/>
        <color theme="1"/>
        <rFont val="Calibri"/>
        <family val="2"/>
        <charset val="204"/>
        <scheme val="minor"/>
      </rPr>
      <t xml:space="preserve"> AB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</si>
  <si>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800x1600mm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</si>
  <si>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900x1800mm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</si>
  <si>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1000x2000mm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</si>
  <si>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1000x2200mm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</si>
  <si>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1000x2400mm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</si>
  <si>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1000x2600mm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</si>
  <si>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1000x2800mm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</si>
  <si>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1000x3000mm</t>
    </r>
  </si>
  <si>
    <t>Инженерный паркет/массивная паркетная доска</t>
  </si>
  <si>
    <t>Руб/м2     Ширина:</t>
  </si>
  <si>
    <r>
      <t xml:space="preserve">Длина: </t>
    </r>
    <r>
      <rPr>
        <b/>
        <sz val="11"/>
        <color theme="1"/>
        <rFont val="Calibri"/>
        <family val="2"/>
        <charset val="204"/>
        <scheme val="minor"/>
      </rPr>
      <t>1000/1200/1500</t>
    </r>
  </si>
  <si>
    <r>
      <t>Длина:</t>
    </r>
    <r>
      <rPr>
        <b/>
        <sz val="11"/>
        <color theme="1"/>
        <rFont val="Calibri"/>
        <family val="2"/>
        <charset val="204"/>
        <scheme val="minor"/>
      </rPr>
      <t>1800/2000/2200/2400</t>
    </r>
  </si>
  <si>
    <r>
      <rPr>
        <b/>
        <sz val="11"/>
        <color theme="1"/>
        <rFont val="Calibri"/>
        <family val="2"/>
        <charset val="204"/>
        <scheme val="minor"/>
      </rPr>
      <t>Ламель дубовая 3,6мм</t>
    </r>
    <r>
      <rPr>
        <sz val="11"/>
        <color theme="1"/>
        <rFont val="Calibri"/>
        <family val="2"/>
        <charset val="204"/>
        <scheme val="minor"/>
      </rPr>
      <t xml:space="preserve">
Сорт: </t>
    </r>
    <r>
      <rPr>
        <b/>
        <sz val="16"/>
        <color theme="1"/>
        <rFont val="Calibri"/>
        <family val="2"/>
        <charset val="204"/>
        <scheme val="minor"/>
      </rPr>
      <t>Селект</t>
    </r>
    <r>
      <rPr>
        <sz val="11"/>
        <color theme="1"/>
        <rFont val="Calibri"/>
        <family val="2"/>
        <charset val="204"/>
        <scheme val="minor"/>
      </rPr>
      <t xml:space="preserve">
Длина: </t>
    </r>
    <r>
      <rPr>
        <b/>
        <sz val="11"/>
        <color theme="1"/>
        <rFont val="Calibri"/>
        <family val="2"/>
        <charset val="204"/>
        <scheme val="minor"/>
      </rPr>
      <t>400/600/800</t>
    </r>
  </si>
  <si>
    <r>
      <rPr>
        <b/>
        <sz val="11"/>
        <color theme="1"/>
        <rFont val="Calibri"/>
        <family val="2"/>
        <charset val="204"/>
        <scheme val="minor"/>
      </rPr>
      <t xml:space="preserve">Ламель дубовая 3,6мм
</t>
    </r>
    <r>
      <rPr>
        <sz val="11"/>
        <color theme="1"/>
        <rFont val="Calibri"/>
        <family val="2"/>
        <charset val="204"/>
        <scheme val="minor"/>
      </rPr>
      <t xml:space="preserve">Сорт: </t>
    </r>
    <r>
      <rPr>
        <b/>
        <sz val="16"/>
        <color theme="1"/>
        <rFont val="Calibri"/>
        <family val="2"/>
        <charset val="204"/>
        <scheme val="minor"/>
      </rPr>
      <t>НАТУР</t>
    </r>
    <r>
      <rPr>
        <sz val="11"/>
        <color theme="1"/>
        <rFont val="Calibri"/>
        <family val="2"/>
        <charset val="204"/>
        <scheme val="minor"/>
      </rPr>
      <t xml:space="preserve">
Длина: 400/600/800</t>
    </r>
  </si>
  <si>
    <r>
      <rPr>
        <b/>
        <sz val="11"/>
        <color theme="1"/>
        <rFont val="Calibri"/>
        <family val="2"/>
        <charset val="204"/>
        <scheme val="minor"/>
      </rPr>
      <t>Ламель дубовая 3,6мм</t>
    </r>
    <r>
      <rPr>
        <sz val="11"/>
        <color theme="1"/>
        <rFont val="Calibri"/>
        <family val="2"/>
        <charset val="204"/>
        <scheme val="minor"/>
      </rPr>
      <t xml:space="preserve">Сорт: </t>
    </r>
    <r>
      <rPr>
        <b/>
        <sz val="16"/>
        <color theme="1"/>
        <rFont val="Calibri"/>
        <family val="2"/>
        <charset val="204"/>
        <scheme val="minor"/>
      </rPr>
      <t>РУСТИК</t>
    </r>
    <r>
      <rPr>
        <sz val="11"/>
        <color theme="1"/>
        <rFont val="Calibri"/>
        <family val="2"/>
        <charset val="204"/>
        <scheme val="minor"/>
      </rPr>
      <t xml:space="preserve">
Длина: 400/600/800</t>
    </r>
  </si>
  <si>
    <t>Дубовая ламель</t>
  </si>
  <si>
    <t>+7 (918) 422-69-77</t>
  </si>
  <si>
    <t>Массивная паркетная доска</t>
  </si>
  <si>
    <r>
      <t xml:space="preserve">Длина: </t>
    </r>
    <r>
      <rPr>
        <b/>
        <sz val="11"/>
        <color theme="1"/>
        <rFont val="Calibri"/>
        <family val="2"/>
        <charset val="204"/>
        <scheme val="minor"/>
      </rPr>
      <t>1000-1800</t>
    </r>
  </si>
  <si>
    <t>Руб/м. пог</t>
  </si>
  <si>
    <t>Декоративная строганная  рейка сращенная по длине</t>
  </si>
  <si>
    <t>Ножки для стола 46*46*770</t>
  </si>
  <si>
    <t>Ножки для стола 46*46*820</t>
  </si>
  <si>
    <t>Руб/шт.</t>
  </si>
  <si>
    <t>Декоративная строганная рейка/заготовка цельноламельная AB</t>
  </si>
  <si>
    <t>Царги 23х45х2000/2500/3000</t>
  </si>
  <si>
    <r>
      <rPr>
        <b/>
        <sz val="11"/>
        <color theme="1"/>
        <rFont val="Calibri"/>
        <family val="2"/>
        <charset val="204"/>
        <scheme val="minor"/>
      </rPr>
      <t>Царги 23х70х2000/2500/3000</t>
    </r>
    <r>
      <rPr>
        <sz val="11"/>
        <color theme="1"/>
        <rFont val="Calibri"/>
        <family val="2"/>
        <charset val="204"/>
        <scheme val="minor"/>
      </rPr>
      <t xml:space="preserve">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</si>
  <si>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r>
      <rPr>
        <b/>
        <sz val="11"/>
        <color theme="1"/>
        <rFont val="Calibri"/>
        <family val="2"/>
        <charset val="204"/>
        <scheme val="minor"/>
      </rPr>
      <t>Рейка 32х43х2000/2500/3000</t>
    </r>
    <r>
      <rPr>
        <sz val="11"/>
        <color theme="1"/>
        <rFont val="Calibri"/>
        <family val="2"/>
        <charset val="204"/>
        <scheme val="minor"/>
      </rPr>
      <t xml:space="preserve">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</si>
  <si>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r>
      <rPr>
        <b/>
        <sz val="11"/>
        <color theme="1"/>
        <rFont val="Calibri"/>
        <family val="2"/>
        <charset val="204"/>
        <scheme val="minor"/>
      </rPr>
      <t>Брусок 43х43х2000/2500/3000</t>
    </r>
    <r>
      <rPr>
        <sz val="11"/>
        <color theme="1"/>
        <rFont val="Calibri"/>
        <family val="2"/>
        <charset val="204"/>
        <scheme val="minor"/>
      </rPr>
      <t xml:space="preserve">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</si>
  <si>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t>Рейка 43*43*2000 AB</t>
  </si>
  <si>
    <t>Рейка 43*43*2500 AB</t>
  </si>
  <si>
    <t>Рейка 43*43*3000 AB</t>
  </si>
  <si>
    <t>Рейка 43*43*2000 Рустик</t>
  </si>
  <si>
    <t>Рейка 43*43*2500 Рустик</t>
  </si>
  <si>
    <t>Рейка 43*43*3000 Рустик</t>
  </si>
  <si>
    <r>
      <rPr>
        <b/>
        <sz val="11"/>
        <color theme="1"/>
        <rFont val="Calibri"/>
        <family val="2"/>
        <charset val="204"/>
        <scheme val="minor"/>
      </rPr>
      <t>Массивная паркетная 
доска 20мм толщ
Расстояние до шипа 10мм</t>
    </r>
    <r>
      <rPr>
        <sz val="11"/>
        <color theme="1"/>
        <rFont val="Calibri"/>
        <family val="2"/>
        <charset val="204"/>
        <scheme val="minor"/>
      </rPr>
      <t xml:space="preserve">
Сорт: </t>
    </r>
    <r>
      <rPr>
        <b/>
        <sz val="16"/>
        <color theme="1"/>
        <rFont val="Calibri"/>
        <family val="2"/>
        <charset val="204"/>
        <scheme val="minor"/>
      </rPr>
      <t>РУСТИК</t>
    </r>
    <r>
      <rPr>
        <sz val="11"/>
        <color theme="1"/>
        <rFont val="Calibri"/>
        <family val="2"/>
        <charset val="204"/>
        <scheme val="minor"/>
      </rPr>
      <t xml:space="preserve">
Длина: 400-900</t>
    </r>
  </si>
  <si>
    <t>https://drive.google.com/file/d/1lw8eIMk-r8iyijZBDnxtFVOb63YIurTZ/view?usp=sharing</t>
  </si>
  <si>
    <t>Цены от 1го поддона.</t>
  </si>
  <si>
    <t>Остатки щита на складе всегда доступны по ссылке:</t>
  </si>
  <si>
    <t>Остатки другой продукции по запросу</t>
  </si>
  <si>
    <t>20х600х2500</t>
  </si>
  <si>
    <t>20х600х3000</t>
  </si>
  <si>
    <t>29х600х2500</t>
  </si>
  <si>
    <t>29х600х3000</t>
  </si>
  <si>
    <t>40х600х2500</t>
  </si>
  <si>
    <t>40х600х3000</t>
  </si>
  <si>
    <t>Руб/шт</t>
  </si>
  <si>
    <t xml:space="preserve"> </t>
  </si>
  <si>
    <t>20х600х2000</t>
  </si>
  <si>
    <t>40х600х2000</t>
  </si>
  <si>
    <t>29х600х2000</t>
  </si>
  <si>
    <t>20х1000х2000</t>
  </si>
  <si>
    <t>20х1000х2500</t>
  </si>
  <si>
    <t>20х1000х3000</t>
  </si>
  <si>
    <t>29х1000х2000</t>
  </si>
  <si>
    <t>29х1000х2500</t>
  </si>
  <si>
    <t>29х1000х3000</t>
  </si>
  <si>
    <t>40х1000х2000</t>
  </si>
  <si>
    <t>40х1000х2500</t>
  </si>
  <si>
    <t>40х1000х3000</t>
  </si>
  <si>
    <t>40х650х2000</t>
  </si>
  <si>
    <t>40х650х2500</t>
  </si>
  <si>
    <t>40х650х1800</t>
  </si>
  <si>
    <t>40х650х1600</t>
  </si>
  <si>
    <t>40х650х2200</t>
  </si>
  <si>
    <t>40х1000х1600</t>
  </si>
  <si>
    <t>40х1000х1800</t>
  </si>
  <si>
    <t>40х1000х2200</t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</si>
  <si>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АВ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</si>
  <si>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</si>
  <si>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BC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</si>
  <si>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</si>
  <si>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>Столешница с живым (необрезным) краем (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</si>
  <si>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>Столешница с живым (необрезным) краем (</t>
    </r>
    <r>
      <rPr>
        <b/>
        <sz val="11"/>
        <color rgb="FFFF0000"/>
        <rFont val="Calibri"/>
        <family val="2"/>
        <charset val="204"/>
        <scheme val="minor"/>
      </rPr>
      <t>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</si>
  <si>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AB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</si>
  <si>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AB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</si>
  <si>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</si>
  <si>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 (с фаской, </t>
    </r>
    <r>
      <rPr>
        <b/>
        <sz val="11"/>
        <color rgb="FFFF0000"/>
        <rFont val="Calibri"/>
        <family val="2"/>
        <charset val="204"/>
        <scheme val="minor"/>
      </rPr>
      <t>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</si>
  <si>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BC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</si>
  <si>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Цельные столешницы кухонные и для столов сорт </t>
    </r>
    <r>
      <rPr>
        <b/>
        <sz val="11"/>
        <color rgb="FFFF0000"/>
        <rFont val="Calibri"/>
        <family val="2"/>
        <charset val="204"/>
        <scheme val="minor"/>
      </rPr>
      <t>АВ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</si>
  <si>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ступени сорт </t>
    </r>
    <r>
      <rPr>
        <b/>
        <sz val="11"/>
        <color rgb="FFFF0000"/>
        <rFont val="Calibri"/>
        <family val="2"/>
        <charset val="204"/>
        <scheme val="minor"/>
      </rPr>
      <t>AB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</si>
  <si>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сступени сорт </t>
    </r>
    <r>
      <rPr>
        <b/>
        <sz val="11"/>
        <color rgb="FFFF0000"/>
        <rFont val="Calibri"/>
        <family val="2"/>
        <charset val="204"/>
        <scheme val="minor"/>
      </rPr>
      <t>AB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</si>
  <si>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t>40х300х900</t>
  </si>
  <si>
    <t>40х300х1000</t>
  </si>
  <si>
    <t>40х300х1100</t>
  </si>
  <si>
    <t>40х300х1400</t>
  </si>
  <si>
    <t>40х300х1300</t>
  </si>
  <si>
    <t>40х300х1500</t>
  </si>
  <si>
    <t>40х300х1200</t>
  </si>
  <si>
    <r>
      <t xml:space="preserve">Сращенные ступени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</si>
  <si>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Сращенные сступени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</si>
  <si>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ступени сорт </t>
    </r>
    <r>
      <rPr>
        <b/>
        <sz val="11"/>
        <color rgb="FFFF0000"/>
        <rFont val="Calibri"/>
        <family val="2"/>
        <charset val="204"/>
        <scheme val="minor"/>
      </rPr>
      <t>АВ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</si>
  <si>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 сступени сорт </t>
    </r>
    <r>
      <rPr>
        <b/>
        <sz val="11"/>
        <color rgb="FFFF0000"/>
        <rFont val="Calibri"/>
        <family val="2"/>
        <charset val="204"/>
        <scheme val="minor"/>
      </rPr>
      <t>АВ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</si>
  <si>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ступени сорт </t>
    </r>
    <r>
      <rPr>
        <b/>
        <sz val="11"/>
        <color rgb="FFFF0000"/>
        <rFont val="Calibri"/>
        <family val="2"/>
        <charset val="204"/>
        <scheme val="minor"/>
      </rPr>
      <t>ВС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</si>
  <si>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 сступени сорт </t>
    </r>
    <r>
      <rPr>
        <b/>
        <sz val="11"/>
        <color rgb="FFFF0000"/>
        <rFont val="Calibri"/>
        <family val="2"/>
        <charset val="204"/>
        <scheme val="minor"/>
      </rPr>
      <t>ВС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</si>
  <si>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ступени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</si>
  <si>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 сступени сорт </t>
    </r>
    <r>
      <rPr>
        <b/>
        <sz val="11"/>
        <color rgb="FFFF0000"/>
        <rFont val="Calibri"/>
        <family val="2"/>
        <charset val="204"/>
        <scheme val="minor"/>
      </rPr>
      <t>Рустик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</si>
  <si>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t>40х650х900</t>
  </si>
  <si>
    <t>40х650х1000</t>
  </si>
  <si>
    <t>40х650х1100</t>
  </si>
  <si>
    <t>40х650х1200</t>
  </si>
  <si>
    <t>40х650х1400</t>
  </si>
  <si>
    <t>40х650х1500</t>
  </si>
  <si>
    <t>28-32см
ширина</t>
  </si>
  <si>
    <t>40х650х1300</t>
  </si>
  <si>
    <r>
      <t xml:space="preserve">Цельноламельные ступени сорт </t>
    </r>
    <r>
      <rPr>
        <b/>
        <sz val="11"/>
        <color rgb="FFFF0000"/>
        <rFont val="Calibri"/>
        <family val="2"/>
        <charset val="204"/>
        <scheme val="minor"/>
      </rPr>
      <t>3 сорт</t>
    </r>
    <r>
      <rPr>
        <b/>
        <sz val="11"/>
        <color theme="1"/>
        <rFont val="Calibri"/>
        <family val="2"/>
        <charset val="204"/>
        <scheme val="minor"/>
      </rPr>
      <t xml:space="preserve"> (с фаской, </t>
    </r>
    <r>
      <rPr>
        <b/>
        <sz val="11"/>
        <color rgb="FFFF0000"/>
        <rFont val="Calibri"/>
        <family val="2"/>
        <charset val="204"/>
        <scheme val="minor"/>
      </rPr>
      <t>без покрытия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</si>
  <si>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 xml:space="preserve">Цельноламельные  сступени сорт </t>
    </r>
    <r>
      <rPr>
        <b/>
        <sz val="11"/>
        <color rgb="FFFF0000"/>
        <rFont val="Calibri"/>
        <family val="2"/>
        <charset val="204"/>
        <scheme val="minor"/>
      </rPr>
      <t>3 сорт</t>
    </r>
    <r>
      <rPr>
        <b/>
        <sz val="11"/>
        <color theme="1"/>
        <rFont val="Calibri"/>
        <family val="2"/>
        <charset val="204"/>
        <scheme val="minor"/>
      </rPr>
      <t xml:space="preserve"> (с фаской,</t>
    </r>
    <r>
      <rPr>
        <b/>
        <sz val="11"/>
        <color rgb="FFFF0000"/>
        <rFont val="Calibri"/>
        <family val="2"/>
        <charset val="204"/>
        <scheme val="minor"/>
      </rPr>
      <t xml:space="preserve"> с покрытием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</si>
  <si>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rPr>
        <b/>
        <sz val="11"/>
        <color theme="1"/>
        <rFont val="Calibri"/>
        <family val="2"/>
        <charset val="204"/>
        <scheme val="minor"/>
      </rPr>
      <t xml:space="preserve">Инженерная доска 15мм. 
</t>
    </r>
    <r>
      <rPr>
        <sz val="11"/>
        <color theme="1"/>
        <rFont val="Calibri"/>
        <family val="2"/>
        <charset val="204"/>
        <scheme val="minor"/>
      </rPr>
      <t xml:space="preserve">Верхний слой 3mm.
Сорт: </t>
    </r>
    <r>
      <rPr>
        <b/>
        <sz val="16"/>
        <color theme="1"/>
        <rFont val="Calibri"/>
        <family val="2"/>
        <charset val="204"/>
        <scheme val="minor"/>
      </rPr>
      <t>Селект</t>
    </r>
    <r>
      <rPr>
        <sz val="11"/>
        <color theme="1"/>
        <rFont val="Calibri"/>
        <family val="2"/>
        <charset val="204"/>
        <scheme val="minor"/>
      </rPr>
      <t xml:space="preserve">
Длина: </t>
    </r>
    <r>
      <rPr>
        <b/>
        <sz val="11"/>
        <color theme="1"/>
        <rFont val="Calibri"/>
        <family val="2"/>
        <charset val="204"/>
        <scheme val="minor"/>
      </rPr>
      <t>400-1800</t>
    </r>
  </si>
  <si>
    <r>
      <rPr>
        <b/>
        <sz val="11"/>
        <color theme="1"/>
        <rFont val="Calibri"/>
        <family val="2"/>
        <charset val="204"/>
        <scheme val="minor"/>
      </rPr>
      <t xml:space="preserve">Инженерная доска 15мм. 
</t>
    </r>
    <r>
      <rPr>
        <sz val="11"/>
        <color theme="1"/>
        <rFont val="Calibri"/>
        <family val="2"/>
        <charset val="204"/>
        <scheme val="minor"/>
      </rPr>
      <t xml:space="preserve">Верхний слой 3mm.
Сорт: </t>
    </r>
    <r>
      <rPr>
        <b/>
        <sz val="16"/>
        <color theme="1"/>
        <rFont val="Calibri"/>
        <family val="2"/>
        <charset val="204"/>
        <scheme val="minor"/>
      </rPr>
      <t>НАТУР</t>
    </r>
    <r>
      <rPr>
        <sz val="11"/>
        <color theme="1"/>
        <rFont val="Calibri"/>
        <family val="2"/>
        <charset val="204"/>
        <scheme val="minor"/>
      </rPr>
      <t xml:space="preserve">
Длина: </t>
    </r>
    <r>
      <rPr>
        <b/>
        <sz val="11"/>
        <color theme="1"/>
        <rFont val="Calibri"/>
        <family val="2"/>
        <charset val="204"/>
        <scheme val="minor"/>
      </rPr>
      <t>400-1800</t>
    </r>
  </si>
  <si>
    <r>
      <rPr>
        <b/>
        <sz val="11"/>
        <color theme="1"/>
        <rFont val="Calibri"/>
        <family val="2"/>
        <charset val="204"/>
        <scheme val="minor"/>
      </rPr>
      <t>Инженерная доска 15мм. 
Верхний слой 3mm.</t>
    </r>
    <r>
      <rPr>
        <sz val="11"/>
        <color theme="1"/>
        <rFont val="Calibri"/>
        <family val="2"/>
        <charset val="204"/>
        <scheme val="minor"/>
      </rPr>
      <t xml:space="preserve">
Сорт: </t>
    </r>
    <r>
      <rPr>
        <b/>
        <sz val="16"/>
        <color theme="1"/>
        <rFont val="Calibri"/>
        <family val="2"/>
        <charset val="204"/>
        <scheme val="minor"/>
      </rPr>
      <t>РУСТИК</t>
    </r>
    <r>
      <rPr>
        <sz val="11"/>
        <color theme="1"/>
        <rFont val="Calibri"/>
        <family val="2"/>
        <charset val="204"/>
        <scheme val="minor"/>
      </rPr>
      <t xml:space="preserve">
Длина: </t>
    </r>
    <r>
      <rPr>
        <b/>
        <sz val="11"/>
        <color theme="1"/>
        <rFont val="Calibri"/>
        <family val="2"/>
        <charset val="204"/>
        <scheme val="minor"/>
      </rPr>
      <t>400-1800</t>
    </r>
  </si>
  <si>
    <r>
      <t xml:space="preserve">Сращенный </t>
    </r>
    <r>
      <rPr>
        <b/>
        <sz val="11"/>
        <color theme="1"/>
        <rFont val="Calibri"/>
        <family val="2"/>
        <charset val="204"/>
        <scheme val="minor"/>
      </rPr>
      <t>16mm</t>
    </r>
    <r>
      <rPr>
        <sz val="11"/>
        <color theme="1"/>
        <rFont val="Calibri"/>
        <family val="2"/>
        <charset val="204"/>
        <scheme val="minor"/>
      </rPr>
      <t xml:space="preserve"> 
Сорт</t>
    </r>
    <r>
      <rPr>
        <b/>
        <sz val="11"/>
        <color theme="1"/>
        <rFont val="Calibri"/>
        <family val="2"/>
        <charset val="204"/>
        <scheme val="minor"/>
      </rPr>
      <t>: AB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</si>
  <si>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1000x1800mm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</si>
  <si>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40 mm
</t>
    </r>
    <r>
      <rPr>
        <sz val="11"/>
        <color theme="1"/>
        <rFont val="Calibri"/>
        <family val="2"/>
        <charset val="204"/>
        <scheme val="minor"/>
      </rPr>
      <t>Размер:</t>
    </r>
    <r>
      <rPr>
        <b/>
        <sz val="11"/>
        <color theme="1"/>
        <rFont val="Calibri"/>
        <family val="2"/>
        <charset val="204"/>
        <scheme val="minor"/>
      </rPr>
      <t xml:space="preserve"> 1000x1600mm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</si>
  <si>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20/26mm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</si>
  <si>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20/26mm</t>
    </r>
    <r>
      <rPr>
        <sz val="11"/>
        <color theme="1"/>
        <rFont val="Calibri"/>
        <family val="2"/>
        <charset val="204"/>
        <scheme val="minor"/>
      </rPr>
      <t xml:space="preserve"> х Х-1200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</si>
  <si>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</si>
  <si>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900-1200</t>
    </r>
  </si>
  <si>
    <r>
      <rPr>
        <sz val="11"/>
        <color theme="1"/>
        <rFont val="Calibri"/>
        <family val="2"/>
        <charset val="204"/>
        <scheme val="minor"/>
      </rPr>
      <t xml:space="preserve">Сорт: </t>
    </r>
    <r>
      <rPr>
        <b/>
        <sz val="11"/>
        <color theme="1"/>
        <rFont val="Calibri"/>
        <family val="2"/>
        <charset val="204"/>
        <scheme val="minor"/>
      </rPr>
      <t>ВС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</si>
  <si>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</si>
  <si>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900-1200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</si>
  <si>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</si>
  <si>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</si>
  <si>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20/26mm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</si>
  <si>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Х-1200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</si>
  <si>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</si>
  <si>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Rustic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</si>
  <si>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900-1200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</si>
  <si>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</si>
  <si>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</si>
  <si>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900-1200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</si>
  <si>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1300-1900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</si>
  <si>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40mm</t>
    </r>
    <r>
      <rPr>
        <sz val="11"/>
        <color theme="1"/>
        <rFont val="Calibri"/>
        <family val="2"/>
        <charset val="204"/>
        <scheme val="minor"/>
      </rPr>
      <t xml:space="preserve"> х 2000-Х</t>
    </r>
  </si>
  <si>
    <r>
      <t xml:space="preserve">AB/ABC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X-899</t>
    </r>
  </si>
  <si>
    <r>
      <t xml:space="preserve">BC </t>
    </r>
    <r>
      <rPr>
        <b/>
        <sz val="11"/>
        <color theme="1"/>
        <rFont val="Calibri"/>
        <family val="2"/>
        <charset val="204"/>
        <scheme val="minor"/>
      </rPr>
      <t>20mm</t>
    </r>
    <r>
      <rPr>
        <sz val="11"/>
        <color theme="1"/>
        <rFont val="Calibri"/>
        <family val="2"/>
        <charset val="204"/>
        <scheme val="minor"/>
      </rPr>
      <t xml:space="preserve"> х X-899</t>
    </r>
  </si>
  <si>
    <t>Слэбы из массива дуба</t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</si>
  <si>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60 mm
</t>
    </r>
    <r>
      <rPr>
        <sz val="11"/>
        <color theme="1"/>
        <rFont val="Calibri"/>
        <family val="2"/>
        <charset val="204"/>
        <scheme val="minor"/>
      </rPr>
      <t>Ширина:</t>
    </r>
    <r>
      <rPr>
        <b/>
        <sz val="11"/>
        <color theme="1"/>
        <rFont val="Calibri"/>
        <family val="2"/>
        <charset val="204"/>
        <scheme val="minor"/>
      </rPr>
      <t xml:space="preserve"> 400-600mm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</si>
  <si>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60 mm
</t>
    </r>
    <r>
      <rPr>
        <sz val="11"/>
        <color theme="1"/>
        <rFont val="Calibri"/>
        <family val="2"/>
        <charset val="204"/>
        <scheme val="minor"/>
      </rPr>
      <t>Ширина:</t>
    </r>
    <r>
      <rPr>
        <b/>
        <sz val="11"/>
        <color theme="1"/>
        <rFont val="Calibri"/>
        <family val="2"/>
        <charset val="204"/>
        <scheme val="minor"/>
      </rPr>
      <t xml:space="preserve"> 600+mm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</si>
  <si>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80 mm
</t>
    </r>
    <r>
      <rPr>
        <sz val="11"/>
        <color theme="1"/>
        <rFont val="Calibri"/>
        <family val="2"/>
        <charset val="204"/>
        <scheme val="minor"/>
      </rPr>
      <t>Ширина:</t>
    </r>
    <r>
      <rPr>
        <b/>
        <sz val="11"/>
        <color theme="1"/>
        <rFont val="Calibri"/>
        <family val="2"/>
        <charset val="204"/>
        <scheme val="minor"/>
      </rPr>
      <t xml:space="preserve"> 700+mm</t>
    </r>
  </si>
  <si>
    <t>Мебельный щит с живым (необрезным) краем / Клеенные слэбы</t>
  </si>
  <si>
    <t>Необрезная доска из дуба, сырая</t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</si>
  <si>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30/50 mm
</t>
    </r>
    <r>
      <rPr>
        <sz val="11"/>
        <color theme="1"/>
        <rFont val="Calibri"/>
        <family val="2"/>
        <charset val="204"/>
        <scheme val="minor"/>
      </rPr>
      <t>Ширина:</t>
    </r>
    <r>
      <rPr>
        <b/>
        <sz val="11"/>
        <color theme="1"/>
        <rFont val="Calibri"/>
        <family val="2"/>
        <charset val="204"/>
        <scheme val="minor"/>
      </rPr>
      <t xml:space="preserve"> 100+</t>
    </r>
  </si>
  <si>
    <r>
      <rPr>
        <sz val="11"/>
        <color theme="1"/>
        <rFont val="Calibri"/>
        <family val="2"/>
        <charset val="204"/>
        <scheme val="minor"/>
      </rPr>
      <t>Из круглого леса 1 сорта.
Ширина:</t>
    </r>
    <r>
      <rPr>
        <b/>
        <sz val="11"/>
        <color theme="1"/>
        <rFont val="Calibri"/>
        <family val="2"/>
        <charset val="204"/>
        <scheme val="minor"/>
      </rPr>
      <t xml:space="preserve"> 100+; </t>
    </r>
    <r>
      <rPr>
        <sz val="11"/>
        <color theme="1"/>
        <rFont val="Calibri"/>
        <family val="2"/>
        <charset val="204"/>
        <scheme val="minor"/>
      </rPr>
      <t>Длина:</t>
    </r>
    <r>
      <rPr>
        <b/>
        <sz val="11"/>
        <color theme="1"/>
        <rFont val="Calibri"/>
        <family val="2"/>
        <charset val="204"/>
        <scheme val="minor"/>
      </rPr>
      <t xml:space="preserve"> 1800+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</si>
  <si>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20 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</si>
  <si>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18 mm</t>
    </r>
  </si>
  <si>
    <r>
      <rPr>
        <sz val="11"/>
        <color theme="1"/>
        <rFont val="Calibri"/>
        <family val="2"/>
        <charset val="204"/>
        <scheme val="minor"/>
      </rPr>
      <t>Толщина:</t>
    </r>
    <r>
      <rPr>
        <b/>
        <sz val="11"/>
        <color theme="1"/>
        <rFont val="Calibri"/>
        <family val="2"/>
        <charset val="204"/>
        <scheme val="minor"/>
      </rPr>
      <t xml:space="preserve"> 25 mm</t>
    </r>
  </si>
  <si>
    <t>Массивная строганная доска рустик. Сорт: BCD
Ширина: 150/180/200/220/250
Длина: 2000/2200/2400/2600/2800/3000mm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</si>
</sst>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1" applyBorder="1"/>
    <xf numFmtId="0" fontId="0" fillId="0" borderId="1" xfId="0" applyBorder="1" applyAlignment="1">
      <alignment wrapText="1"/>
    </xf>
    <xf numFmtId="0" fontId="1" fillId="2" borderId="2" xfId="0" applyFont="1" applyFill="1" applyBorder="1" applyAlignment="1">
      <alignment horizontal="left" vertical="center" wrapText="1"/>
    </xf>
    <xf numFmtId="1" fontId="0" fillId="0" borderId="0" xfId="0" applyNumberFormat="1"/>
    <xf numFmtId="0" fontId="1" fillId="2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0" fillId="4" borderId="1" xfId="0" applyFill="1" applyBorder="1"/>
    <xf numFmtId="3" fontId="0" fillId="4" borderId="3" xfId="0" applyNumberForma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0" fillId="4" borderId="11" xfId="0" applyFill="1" applyBorder="1" applyAlignment="1">
      <alignment wrapText="1"/>
    </xf>
    <xf numFmtId="0" fontId="0" fillId="5" borderId="2" xfId="0" applyFill="1" applyBorder="1" applyAlignment="1">
      <alignment horizontal="left" vertical="center" wrapText="1"/>
    </xf>
    <xf numFmtId="0" fontId="0" fillId="5" borderId="1" xfId="0" applyFill="1" applyBorder="1"/>
    <xf numFmtId="3" fontId="0" fillId="5" borderId="3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1" fillId="2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8" xfId="0" applyBorder="1"/>
    <xf numFmtId="0" fontId="2" fillId="0" borderId="7" xfId="1" applyBorder="1" applyAlignment="1">
      <alignment horizontal="center" vertical="center"/>
    </xf>
    <xf numFmtId="0" fontId="2" fillId="0" borderId="1" xfId="1" applyBorder="1" applyAlignment="1">
      <alignment horizontal="left" vertical="center"/>
    </xf>
    <xf numFmtId="0" fontId="2" fillId="0" borderId="1" xfId="1" applyBorder="1" applyAlignment="1">
      <alignment horizontal="center" vertical="center"/>
    </xf>
    <xf numFmtId="0" fontId="2" fillId="0" borderId="1" xfId="1" applyBorder="1" applyAlignment="1">
      <alignment vertical="center"/>
    </xf>
    <xf numFmtId="49" fontId="2" fillId="0" borderId="1" xfId="1" applyNumberFormat="1" applyBorder="1" applyAlignment="1">
      <alignment vertical="center"/>
    </xf>
    <xf numFmtId="1" fontId="0" fillId="0" borderId="3" xfId="2" applyNumberFormat="1" applyFont="1" applyBorder="1" applyAlignment="1">
      <alignment horizontal="center" vertical="center"/>
    </xf>
    <xf numFmtId="0" fontId="0" fillId="7" borderId="2" xfId="0" applyFill="1" applyBorder="1" applyAlignment="1">
      <alignment horizontal="left" vertical="center" wrapText="1"/>
    </xf>
    <xf numFmtId="1" fontId="0" fillId="7" borderId="3" xfId="2" applyNumberFormat="1" applyFont="1" applyFill="1" applyBorder="1" applyAlignment="1">
      <alignment horizontal="center" vertical="center"/>
    </xf>
    <xf numFmtId="1" fontId="0" fillId="4" borderId="3" xfId="2" applyNumberFormat="1" applyFont="1" applyFill="1" applyBorder="1" applyAlignment="1">
      <alignment horizontal="center" vertical="center"/>
    </xf>
    <xf numFmtId="0" fontId="2" fillId="0" borderId="5" xfId="1" applyBorder="1"/>
    <xf numFmtId="0" fontId="2" fillId="0" borderId="6" xfId="1" applyBorder="1" applyAlignment="1">
      <alignment horizontal="center" vertical="center"/>
    </xf>
    <xf numFmtId="0" fontId="2" fillId="0" borderId="6" xfId="1" applyBorder="1"/>
    <xf numFmtId="0" fontId="2" fillId="0" borderId="7" xfId="1" applyBorder="1" applyAlignment="1">
      <alignment horizontal="right" vertical="center"/>
    </xf>
    <xf numFmtId="0" fontId="0" fillId="0" borderId="21" xfId="0" applyBorder="1"/>
    <xf numFmtId="0" fontId="2" fillId="0" borderId="0" xfId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0" xfId="1" applyBorder="1" applyAlignment="1">
      <alignment vertical="center"/>
    </xf>
    <xf numFmtId="0" fontId="2" fillId="0" borderId="8" xfId="1" applyBorder="1" applyAlignment="1">
      <alignment horizontal="right" vertical="center"/>
    </xf>
    <xf numFmtId="49" fontId="2" fillId="0" borderId="0" xfId="1" applyNumberForma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8" borderId="2" xfId="0" applyFill="1" applyBorder="1" applyAlignment="1">
      <alignment horizontal="left" vertical="center" wrapText="1"/>
    </xf>
    <xf numFmtId="0" fontId="0" fillId="8" borderId="1" xfId="0" applyFill="1" applyBorder="1"/>
    <xf numFmtId="0" fontId="0" fillId="3" borderId="2" xfId="0" applyFill="1" applyBorder="1" applyAlignment="1">
      <alignment horizontal="left" vertical="center" wrapText="1"/>
    </xf>
    <xf numFmtId="0" fontId="0" fillId="0" borderId="1" xfId="0" applyBorder="1"/>
    <xf numFmtId="0" fontId="6" fillId="3" borderId="1" xfId="0" applyFont="1" applyFill="1" applyBorder="1" applyAlignment="1">
      <alignment horizontal="center" vertical="center"/>
    </xf>
    <xf numFmtId="0" fontId="0" fillId="3" borderId="24" xfId="0" applyFill="1" applyBorder="1" applyAlignment="1">
      <alignment horizontal="left" vertical="center" wrapText="1"/>
    </xf>
    <xf numFmtId="0" fontId="0" fillId="0" borderId="19" xfId="0" applyBorder="1"/>
    <xf numFmtId="0" fontId="0" fillId="9" borderId="22" xfId="0" applyFill="1" applyBorder="1" applyAlignment="1">
      <alignment horizontal="left" vertical="center" wrapText="1"/>
    </xf>
    <xf numFmtId="0" fontId="0" fillId="9" borderId="9" xfId="0" applyFill="1" applyBorder="1"/>
    <xf numFmtId="0" fontId="0" fillId="3" borderId="25" xfId="0" applyFill="1" applyBorder="1" applyAlignment="1">
      <alignment horizontal="left" vertical="center" wrapText="1"/>
    </xf>
    <xf numFmtId="0" fontId="0" fillId="0" borderId="26" xfId="0" applyBorder="1"/>
    <xf numFmtId="0" fontId="0" fillId="6" borderId="27" xfId="0" applyFill="1" applyBorder="1" applyAlignment="1">
      <alignment horizontal="left" vertical="center" wrapText="1"/>
    </xf>
    <xf numFmtId="0" fontId="0" fillId="6" borderId="20" xfId="0" applyFill="1" applyBorder="1"/>
    <xf numFmtId="0" fontId="6" fillId="6" borderId="20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49" fontId="2" fillId="0" borderId="1" xfId="1" applyNumberFormat="1" applyBorder="1" applyAlignment="1">
      <alignment horizontal="left" vertical="center"/>
    </xf>
    <xf numFmtId="49" fontId="2" fillId="0" borderId="0" xfId="1" applyNumberFormat="1" applyBorder="1" applyAlignment="1">
      <alignment horizontal="left" vertical="center"/>
    </xf>
    <xf numFmtId="0" fontId="0" fillId="4" borderId="1" xfId="0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vertical="center" wrapText="1"/>
    </xf>
    <xf numFmtId="0" fontId="0" fillId="9" borderId="1" xfId="0" applyFill="1" applyBorder="1"/>
    <xf numFmtId="0" fontId="1" fillId="7" borderId="2" xfId="0" applyFont="1" applyFill="1" applyBorder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0" fillId="7" borderId="1" xfId="0" applyFill="1" applyBorder="1" applyAlignment="1">
      <alignment wrapText="1"/>
    </xf>
    <xf numFmtId="0" fontId="1" fillId="10" borderId="2" xfId="0" applyFont="1" applyFill="1" applyBorder="1" applyAlignment="1">
      <alignment horizontal="left" vertical="center" wrapText="1"/>
    </xf>
    <xf numFmtId="0" fontId="0" fillId="10" borderId="1" xfId="0" applyFill="1" applyBorder="1" applyAlignment="1">
      <alignment wrapText="1"/>
    </xf>
    <xf numFmtId="1" fontId="0" fillId="10" borderId="3" xfId="2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wrapText="1"/>
    </xf>
    <xf numFmtId="0" fontId="0" fillId="12" borderId="0" xfId="0" applyFill="1" applyAlignment="1">
      <alignment wrapText="1"/>
    </xf>
    <xf numFmtId="0" fontId="0" fillId="12" borderId="0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0" fillId="0" borderId="0" xfId="0" applyFill="1"/>
    <xf numFmtId="0" fontId="0" fillId="0" borderId="1" xfId="0" applyFill="1" applyBorder="1"/>
    <xf numFmtId="3" fontId="0" fillId="0" borderId="3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1" fillId="2" borderId="17" xfId="0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9" xfId="0" applyFill="1" applyBorder="1"/>
    <xf numFmtId="3" fontId="0" fillId="0" borderId="23" xfId="0" applyNumberFormat="1" applyFill="1" applyBorder="1" applyAlignment="1">
      <alignment horizontal="center" vertical="center" wrapText="1"/>
    </xf>
    <xf numFmtId="0" fontId="0" fillId="0" borderId="2" xfId="0" applyFill="1" applyBorder="1"/>
    <xf numFmtId="0" fontId="0" fillId="0" borderId="25" xfId="0" applyFill="1" applyBorder="1"/>
    <xf numFmtId="0" fontId="0" fillId="0" borderId="26" xfId="0" applyFill="1" applyBorder="1" applyAlignment="1">
      <alignment wrapText="1"/>
    </xf>
    <xf numFmtId="3" fontId="0" fillId="0" borderId="4" xfId="0" applyNumberFormat="1" applyFill="1" applyBorder="1" applyAlignment="1">
      <alignment horizontal="center" vertical="center" wrapText="1"/>
    </xf>
    <xf numFmtId="0" fontId="0" fillId="4" borderId="2" xfId="0" applyFill="1" applyBorder="1"/>
    <xf numFmtId="0" fontId="1" fillId="2" borderId="1" xfId="0" applyFont="1" applyFill="1" applyBorder="1" applyAlignment="1">
      <alignment horizontal="left" vertical="center" wrapText="1"/>
    </xf>
    <xf numFmtId="0" fontId="1" fillId="12" borderId="31" xfId="0" applyFont="1" applyFill="1" applyBorder="1" applyAlignment="1">
      <alignment horizontal="left" vertical="center" wrapText="1"/>
    </xf>
    <xf numFmtId="1" fontId="0" fillId="0" borderId="1" xfId="0" applyNumberFormat="1" applyBorder="1" applyAlignment="1">
      <alignment horizontal="center"/>
    </xf>
    <xf numFmtId="0" fontId="0" fillId="0" borderId="33" xfId="0" applyFill="1" applyBorder="1"/>
    <xf numFmtId="3" fontId="0" fillId="0" borderId="34" xfId="0" applyNumberFormat="1" applyFill="1" applyBorder="1" applyAlignment="1">
      <alignment horizontal="center" vertical="center" wrapText="1"/>
    </xf>
    <xf numFmtId="0" fontId="0" fillId="0" borderId="20" xfId="0" applyFill="1" applyBorder="1"/>
    <xf numFmtId="0" fontId="0" fillId="3" borderId="19" xfId="0" applyFill="1" applyBorder="1"/>
    <xf numFmtId="0" fontId="0" fillId="3" borderId="35" xfId="0" applyFill="1" applyBorder="1"/>
    <xf numFmtId="0" fontId="0" fillId="3" borderId="20" xfId="0" applyFill="1" applyBorder="1" applyAlignment="1">
      <alignment wrapText="1"/>
    </xf>
    <xf numFmtId="3" fontId="0" fillId="0" borderId="37" xfId="0" applyNumberForma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 wrapText="1"/>
    </xf>
    <xf numFmtId="0" fontId="0" fillId="0" borderId="38" xfId="0" applyFill="1" applyBorder="1"/>
    <xf numFmtId="0" fontId="0" fillId="0" borderId="19" xfId="0" applyFill="1" applyBorder="1" applyAlignment="1">
      <alignment wrapText="1"/>
    </xf>
    <xf numFmtId="3" fontId="0" fillId="0" borderId="39" xfId="0" applyNumberFormat="1" applyFill="1" applyBorder="1" applyAlignment="1">
      <alignment horizontal="center" vertical="center" wrapText="1"/>
    </xf>
    <xf numFmtId="0" fontId="0" fillId="0" borderId="5" xfId="0" applyFill="1" applyBorder="1"/>
    <xf numFmtId="0" fontId="0" fillId="3" borderId="35" xfId="0" applyFill="1" applyBorder="1" applyAlignment="1">
      <alignment wrapText="1"/>
    </xf>
    <xf numFmtId="3" fontId="0" fillId="0" borderId="7" xfId="0" applyNumberFormat="1" applyFill="1" applyBorder="1" applyAlignment="1">
      <alignment horizontal="center" vertical="center" wrapText="1"/>
    </xf>
    <xf numFmtId="0" fontId="0" fillId="0" borderId="15" xfId="0" applyFill="1" applyBorder="1"/>
    <xf numFmtId="3" fontId="0" fillId="0" borderId="16" xfId="0" applyNumberFormat="1" applyFill="1" applyBorder="1" applyAlignment="1">
      <alignment horizontal="center" vertical="center" wrapText="1"/>
    </xf>
    <xf numFmtId="0" fontId="0" fillId="0" borderId="27" xfId="0" applyFill="1" applyBorder="1"/>
    <xf numFmtId="3" fontId="0" fillId="0" borderId="40" xfId="0" applyNumberForma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/>
    </xf>
    <xf numFmtId="0" fontId="1" fillId="13" borderId="43" xfId="0" applyFont="1" applyFill="1" applyBorder="1" applyAlignment="1">
      <alignment horizontal="center" vertical="center"/>
    </xf>
    <xf numFmtId="0" fontId="0" fillId="0" borderId="41" xfId="0" applyFill="1" applyBorder="1"/>
    <xf numFmtId="0" fontId="0" fillId="3" borderId="29" xfId="0" applyFill="1" applyBorder="1" applyAlignment="1">
      <alignment wrapText="1"/>
    </xf>
    <xf numFmtId="3" fontId="0" fillId="0" borderId="42" xfId="0" applyNumberFormat="1" applyFill="1" applyBorder="1" applyAlignment="1">
      <alignment horizontal="center" vertical="center" wrapText="1"/>
    </xf>
    <xf numFmtId="3" fontId="0" fillId="0" borderId="6" xfId="0" applyNumberFormat="1" applyFill="1" applyBorder="1" applyAlignment="1">
      <alignment horizontal="center" vertical="center" wrapText="1"/>
    </xf>
    <xf numFmtId="0" fontId="0" fillId="13" borderId="32" xfId="0" applyFill="1" applyBorder="1" applyAlignment="1">
      <alignment vertical="center" wrapText="1"/>
    </xf>
    <xf numFmtId="1" fontId="0" fillId="0" borderId="32" xfId="0" applyNumberFormat="1" applyFill="1" applyBorder="1" applyAlignment="1">
      <alignment horizontal="center"/>
    </xf>
    <xf numFmtId="0" fontId="1" fillId="13" borderId="32" xfId="0" applyFont="1" applyFill="1" applyBorder="1" applyAlignment="1">
      <alignment vertical="center" wrapText="1"/>
    </xf>
    <xf numFmtId="164" fontId="0" fillId="0" borderId="3" xfId="2" applyNumberFormat="1" applyFont="1" applyBorder="1" applyAlignment="1">
      <alignment horizontal="center" vertical="center"/>
    </xf>
    <xf numFmtId="164" fontId="0" fillId="7" borderId="3" xfId="2" applyNumberFormat="1" applyFont="1" applyFill="1" applyBorder="1" applyAlignment="1">
      <alignment horizontal="center" vertical="center"/>
    </xf>
    <xf numFmtId="164" fontId="0" fillId="4" borderId="3" xfId="2" applyNumberFormat="1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0" fillId="14" borderId="2" xfId="0" applyFill="1" applyBorder="1" applyAlignment="1">
      <alignment horizontal="left" vertical="center" wrapText="1"/>
    </xf>
    <xf numFmtId="164" fontId="0" fillId="14" borderId="3" xfId="2" applyNumberFormat="1" applyFont="1" applyFill="1" applyBorder="1" applyAlignment="1">
      <alignment horizontal="center" vertical="center"/>
    </xf>
    <xf numFmtId="0" fontId="0" fillId="15" borderId="2" xfId="0" applyFill="1" applyBorder="1" applyAlignment="1">
      <alignment horizontal="left" vertical="center" wrapText="1"/>
    </xf>
    <xf numFmtId="164" fontId="0" fillId="15" borderId="3" xfId="2" applyNumberFormat="1" applyFont="1" applyFill="1" applyBorder="1" applyAlignment="1">
      <alignment horizontal="center" vertical="center"/>
    </xf>
    <xf numFmtId="0" fontId="0" fillId="11" borderId="2" xfId="0" applyFill="1" applyBorder="1" applyAlignment="1">
      <alignment horizontal="left" vertical="center" wrapText="1"/>
    </xf>
    <xf numFmtId="164" fontId="0" fillId="11" borderId="3" xfId="2" applyNumberFormat="1" applyFont="1" applyFill="1" applyBorder="1" applyAlignment="1">
      <alignment horizontal="center" vertical="center"/>
    </xf>
    <xf numFmtId="164" fontId="0" fillId="9" borderId="3" xfId="2" applyNumberFormat="1" applyFont="1" applyFill="1" applyBorder="1" applyAlignment="1">
      <alignment horizontal="center" vertical="center"/>
    </xf>
    <xf numFmtId="0" fontId="0" fillId="5" borderId="11" xfId="0" applyFill="1" applyBorder="1" applyAlignment="1">
      <alignment wrapText="1"/>
    </xf>
    <xf numFmtId="0" fontId="1" fillId="16" borderId="2" xfId="0" applyFont="1" applyFill="1" applyBorder="1" applyAlignment="1">
      <alignment horizontal="left" vertical="center" wrapText="1"/>
    </xf>
    <xf numFmtId="164" fontId="0" fillId="16" borderId="3" xfId="2" applyNumberFormat="1" applyFont="1" applyFill="1" applyBorder="1" applyAlignment="1">
      <alignment horizontal="center" vertical="center"/>
    </xf>
    <xf numFmtId="0" fontId="0" fillId="17" borderId="2" xfId="0" applyFill="1" applyBorder="1" applyAlignment="1">
      <alignment horizontal="left" vertical="center" wrapText="1"/>
    </xf>
    <xf numFmtId="0" fontId="0" fillId="17" borderId="35" xfId="0" applyFill="1" applyBorder="1" applyAlignment="1">
      <alignment horizontal="center" wrapText="1"/>
    </xf>
    <xf numFmtId="164" fontId="0" fillId="17" borderId="3" xfId="2" applyNumberFormat="1" applyFont="1" applyFill="1" applyBorder="1" applyAlignment="1">
      <alignment horizontal="center" vertical="center"/>
    </xf>
    <xf numFmtId="0" fontId="0" fillId="18" borderId="2" xfId="0" applyFill="1" applyBorder="1" applyAlignment="1">
      <alignment horizontal="left" vertical="center" wrapText="1"/>
    </xf>
    <xf numFmtId="0" fontId="0" fillId="18" borderId="35" xfId="0" applyFill="1" applyBorder="1" applyAlignment="1">
      <alignment horizontal="center" wrapText="1"/>
    </xf>
    <xf numFmtId="164" fontId="0" fillId="18" borderId="3" xfId="2" applyNumberFormat="1" applyFont="1" applyFill="1" applyBorder="1" applyAlignment="1">
      <alignment horizontal="center" vertical="center"/>
    </xf>
    <xf numFmtId="0" fontId="0" fillId="7" borderId="35" xfId="0" applyFill="1" applyBorder="1" applyAlignment="1">
      <alignment horizontal="center" wrapText="1"/>
    </xf>
    <xf numFmtId="0" fontId="1" fillId="14" borderId="0" xfId="0" applyFont="1" applyFill="1" applyBorder="1" applyAlignment="1">
      <alignment horizontal="center" vertical="center" wrapText="1"/>
    </xf>
    <xf numFmtId="3" fontId="0" fillId="14" borderId="3" xfId="0" applyNumberFormat="1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164" fontId="0" fillId="0" borderId="1" xfId="2" applyNumberFormat="1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0" fillId="0" borderId="1" xfId="2" applyNumberFormat="1" applyFont="1" applyFill="1" applyBorder="1" applyAlignment="1">
      <alignment horizontal="right" vertical="center" wrapText="1"/>
    </xf>
    <xf numFmtId="0" fontId="1" fillId="2" borderId="41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19" xfId="1" applyBorder="1" applyAlignment="1">
      <alignment horizontal="center"/>
    </xf>
    <xf numFmtId="0" fontId="2" fillId="0" borderId="20" xfId="1" applyBorder="1" applyAlignment="1">
      <alignment horizontal="center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0" fillId="7" borderId="35" xfId="0" applyFill="1" applyBorder="1" applyAlignment="1">
      <alignment horizontal="center" wrapText="1"/>
    </xf>
    <xf numFmtId="0" fontId="0" fillId="0" borderId="0" xfId="0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1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/>
    </xf>
    <xf numFmtId="0" fontId="6" fillId="8" borderId="35" xfId="0" applyFont="1" applyFill="1" applyBorder="1" applyAlignment="1">
      <alignment horizontal="center" vertical="center"/>
    </xf>
    <xf numFmtId="0" fontId="6" fillId="8" borderId="29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5" xfId="0" applyFont="1" applyFill="1" applyBorder="1" applyAlignment="1">
      <alignment horizontal="center" vertical="center"/>
    </xf>
    <xf numFmtId="0" fontId="7" fillId="9" borderId="29" xfId="0" applyFont="1" applyFill="1" applyBorder="1" applyAlignment="1">
      <alignment horizontal="center" vertical="center"/>
    </xf>
    <xf numFmtId="0" fontId="6" fillId="6" borderId="44" xfId="0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0" fillId="8" borderId="28" xfId="0" applyFill="1" applyBorder="1" applyAlignment="1">
      <alignment horizontal="center" vertical="center" wrapText="1"/>
    </xf>
    <xf numFmtId="0" fontId="0" fillId="9" borderId="38" xfId="0" applyFill="1" applyBorder="1" applyAlignment="1">
      <alignment horizontal="center" vertical="center" wrapText="1"/>
    </xf>
    <xf numFmtId="0" fontId="0" fillId="9" borderId="31" xfId="0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0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toliPol.ru" TargetMode="External" /><Relationship Id="rId13" Type="http://schemas.openxmlformats.org/officeDocument/2006/relationships/image" Target="../media/image7.png" /><Relationship Id="rId18" Type="http://schemas.openxmlformats.org/officeDocument/2006/relationships/image" Target="../media/image10.png" /><Relationship Id="rId3" Type="http://schemas.openxmlformats.org/officeDocument/2006/relationships/image" Target="../media/image2.png" /><Relationship Id="rId21" Type="http://schemas.openxmlformats.org/officeDocument/2006/relationships/image" Target="../media/image13.png" /><Relationship Id="rId7" Type="http://schemas.openxmlformats.org/officeDocument/2006/relationships/image" Target="../media/image4.png" /><Relationship Id="rId12" Type="http://schemas.openxmlformats.org/officeDocument/2006/relationships/hyperlink" Target="https://www.youtube.com/channel/UCBDVAismhg0vNtlFoC2K-TA" TargetMode="External" /><Relationship Id="rId17" Type="http://schemas.openxmlformats.org/officeDocument/2006/relationships/image" Target="../media/image9.png" /><Relationship Id="rId2" Type="http://schemas.openxmlformats.org/officeDocument/2006/relationships/hyperlink" Target="https://yandex.ru/maps/-/CGws4Zi9" TargetMode="External" /><Relationship Id="rId16" Type="http://schemas.openxmlformats.org/officeDocument/2006/relationships/hyperlink" Target="https://www.facebook.com/StoliPol/" TargetMode="External" /><Relationship Id="rId20" Type="http://schemas.openxmlformats.org/officeDocument/2006/relationships/image" Target="../media/image12.png" /><Relationship Id="rId1" Type="http://schemas.openxmlformats.org/officeDocument/2006/relationships/image" Target="../media/image1.jpeg" /><Relationship Id="rId6" Type="http://schemas.openxmlformats.org/officeDocument/2006/relationships/hyperlink" Target="https://api.whatsapp.com/send?phone=79184226977" TargetMode="External" /><Relationship Id="rId11" Type="http://schemas.openxmlformats.org/officeDocument/2006/relationships/image" Target="../media/image6.png" /><Relationship Id="rId5" Type="http://schemas.openxmlformats.org/officeDocument/2006/relationships/image" Target="../media/image3.png" /><Relationship Id="rId15" Type="http://schemas.openxmlformats.org/officeDocument/2006/relationships/image" Target="../media/image8.png" /><Relationship Id="rId23" Type="http://schemas.openxmlformats.org/officeDocument/2006/relationships/image" Target="../media/image15.jpeg" /><Relationship Id="rId10" Type="http://schemas.openxmlformats.org/officeDocument/2006/relationships/hyperlink" Target="https://www.instagram.com/stolipol/" TargetMode="External" /><Relationship Id="rId19" Type="http://schemas.openxmlformats.org/officeDocument/2006/relationships/image" Target="../media/image11.jpeg" /><Relationship Id="rId4" Type="http://schemas.openxmlformats.org/officeDocument/2006/relationships/hyperlink" Target="https://api.whatsapp.com/send?phone=375255000009" TargetMode="External" /><Relationship Id="rId9" Type="http://schemas.openxmlformats.org/officeDocument/2006/relationships/image" Target="../media/image5.png" /><Relationship Id="rId14" Type="http://schemas.openxmlformats.org/officeDocument/2006/relationships/hyperlink" Target="https://stolipol.ru/" TargetMode="External" /><Relationship Id="rId22" Type="http://schemas.openxmlformats.org/officeDocument/2006/relationships/image" Target="../media/image14.jpeg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toliPol.ru" TargetMode="External" /><Relationship Id="rId13" Type="http://schemas.openxmlformats.org/officeDocument/2006/relationships/image" Target="../media/image7.png" /><Relationship Id="rId18" Type="http://schemas.openxmlformats.org/officeDocument/2006/relationships/image" Target="../media/image10.png" /><Relationship Id="rId3" Type="http://schemas.openxmlformats.org/officeDocument/2006/relationships/image" Target="../media/image2.png" /><Relationship Id="rId21" Type="http://schemas.openxmlformats.org/officeDocument/2006/relationships/image" Target="../media/image13.png" /><Relationship Id="rId7" Type="http://schemas.openxmlformats.org/officeDocument/2006/relationships/image" Target="../media/image4.png" /><Relationship Id="rId12" Type="http://schemas.openxmlformats.org/officeDocument/2006/relationships/hyperlink" Target="https://www.youtube.com/channel/UCBDVAismhg0vNtlFoC2K-TA" TargetMode="External" /><Relationship Id="rId17" Type="http://schemas.openxmlformats.org/officeDocument/2006/relationships/image" Target="../media/image9.png" /><Relationship Id="rId2" Type="http://schemas.openxmlformats.org/officeDocument/2006/relationships/hyperlink" Target="https://yandex.ru/maps/-/CGws4Zi9" TargetMode="External" /><Relationship Id="rId16" Type="http://schemas.openxmlformats.org/officeDocument/2006/relationships/hyperlink" Target="https://www.facebook.com/StoliPol/" TargetMode="External" /><Relationship Id="rId20" Type="http://schemas.openxmlformats.org/officeDocument/2006/relationships/image" Target="../media/image18.png" /><Relationship Id="rId1" Type="http://schemas.openxmlformats.org/officeDocument/2006/relationships/image" Target="../media/image16.jpg" /><Relationship Id="rId6" Type="http://schemas.openxmlformats.org/officeDocument/2006/relationships/hyperlink" Target="https://api.whatsapp.com/send?phone=79184226977" TargetMode="External" /><Relationship Id="rId11" Type="http://schemas.openxmlformats.org/officeDocument/2006/relationships/image" Target="../media/image6.png" /><Relationship Id="rId5" Type="http://schemas.openxmlformats.org/officeDocument/2006/relationships/image" Target="../media/image3.png" /><Relationship Id="rId15" Type="http://schemas.openxmlformats.org/officeDocument/2006/relationships/image" Target="../media/image8.png" /><Relationship Id="rId10" Type="http://schemas.openxmlformats.org/officeDocument/2006/relationships/hyperlink" Target="https://www.instagram.com/stolipol/" TargetMode="External" /><Relationship Id="rId19" Type="http://schemas.openxmlformats.org/officeDocument/2006/relationships/image" Target="../media/image17.jpeg" /><Relationship Id="rId4" Type="http://schemas.openxmlformats.org/officeDocument/2006/relationships/hyperlink" Target="https://api.whatsapp.com/send?phone=375255000009" TargetMode="External" /><Relationship Id="rId9" Type="http://schemas.openxmlformats.org/officeDocument/2006/relationships/image" Target="../media/image5.png" /><Relationship Id="rId14" Type="http://schemas.openxmlformats.org/officeDocument/2006/relationships/hyperlink" Target="https://stolipol.ru/" TargetMode="External" /><Relationship Id="rId22" Type="http://schemas.openxmlformats.org/officeDocument/2006/relationships/image" Target="../media/image12.png" 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toliPol.ru" TargetMode="External" /><Relationship Id="rId13" Type="http://schemas.openxmlformats.org/officeDocument/2006/relationships/image" Target="../media/image7.png" /><Relationship Id="rId18" Type="http://schemas.openxmlformats.org/officeDocument/2006/relationships/image" Target="../media/image10.png" /><Relationship Id="rId3" Type="http://schemas.openxmlformats.org/officeDocument/2006/relationships/image" Target="../media/image2.png" /><Relationship Id="rId21" Type="http://schemas.openxmlformats.org/officeDocument/2006/relationships/image" Target="../media/image20.png" /><Relationship Id="rId7" Type="http://schemas.openxmlformats.org/officeDocument/2006/relationships/image" Target="../media/image4.png" /><Relationship Id="rId12" Type="http://schemas.openxmlformats.org/officeDocument/2006/relationships/hyperlink" Target="https://www.youtube.com/channel/UCBDVAismhg0vNtlFoC2K-TA" TargetMode="External" /><Relationship Id="rId17" Type="http://schemas.openxmlformats.org/officeDocument/2006/relationships/image" Target="../media/image9.png" /><Relationship Id="rId2" Type="http://schemas.openxmlformats.org/officeDocument/2006/relationships/hyperlink" Target="https://yandex.ru/maps/-/CGws4Zi9" TargetMode="External" /><Relationship Id="rId16" Type="http://schemas.openxmlformats.org/officeDocument/2006/relationships/hyperlink" Target="https://www.facebook.com/StoliPol/" TargetMode="External" /><Relationship Id="rId20" Type="http://schemas.openxmlformats.org/officeDocument/2006/relationships/image" Target="../media/image16.jpg" /><Relationship Id="rId1" Type="http://schemas.openxmlformats.org/officeDocument/2006/relationships/image" Target="../media/image19.jpeg" /><Relationship Id="rId6" Type="http://schemas.openxmlformats.org/officeDocument/2006/relationships/hyperlink" Target="https://api.whatsapp.com/send?phone=79184226977" TargetMode="External" /><Relationship Id="rId11" Type="http://schemas.openxmlformats.org/officeDocument/2006/relationships/image" Target="../media/image6.png" /><Relationship Id="rId5" Type="http://schemas.openxmlformats.org/officeDocument/2006/relationships/image" Target="../media/image3.png" /><Relationship Id="rId15" Type="http://schemas.openxmlformats.org/officeDocument/2006/relationships/image" Target="../media/image8.png" /><Relationship Id="rId23" Type="http://schemas.openxmlformats.org/officeDocument/2006/relationships/image" Target="../media/image22.png" /><Relationship Id="rId10" Type="http://schemas.openxmlformats.org/officeDocument/2006/relationships/hyperlink" Target="https://www.instagram.com/stolipol/" TargetMode="External" /><Relationship Id="rId19" Type="http://schemas.openxmlformats.org/officeDocument/2006/relationships/image" Target="../media/image18.png" /><Relationship Id="rId4" Type="http://schemas.openxmlformats.org/officeDocument/2006/relationships/hyperlink" Target="https://api.whatsapp.com/send?phone=375255000009" TargetMode="External" /><Relationship Id="rId9" Type="http://schemas.openxmlformats.org/officeDocument/2006/relationships/image" Target="../media/image5.png" /><Relationship Id="rId14" Type="http://schemas.openxmlformats.org/officeDocument/2006/relationships/hyperlink" Target="https://stolipol.ru/" TargetMode="External" /><Relationship Id="rId22" Type="http://schemas.openxmlformats.org/officeDocument/2006/relationships/image" Target="../media/image21.png" 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toliPol.ru" TargetMode="External" /><Relationship Id="rId13" Type="http://schemas.openxmlformats.org/officeDocument/2006/relationships/image" Target="../media/image7.png" /><Relationship Id="rId3" Type="http://schemas.openxmlformats.org/officeDocument/2006/relationships/image" Target="../media/image2.png" /><Relationship Id="rId7" Type="http://schemas.openxmlformats.org/officeDocument/2006/relationships/image" Target="../media/image4.png" /><Relationship Id="rId12" Type="http://schemas.openxmlformats.org/officeDocument/2006/relationships/hyperlink" Target="https://www.youtube.com/channel/UCBDVAismhg0vNtlFoC2K-TA" TargetMode="External" /><Relationship Id="rId17" Type="http://schemas.openxmlformats.org/officeDocument/2006/relationships/image" Target="../media/image9.png" /><Relationship Id="rId2" Type="http://schemas.openxmlformats.org/officeDocument/2006/relationships/hyperlink" Target="https://yandex.ru/maps/-/CGws4Zi9" TargetMode="External" /><Relationship Id="rId16" Type="http://schemas.openxmlformats.org/officeDocument/2006/relationships/hyperlink" Target="https://www.facebook.com/StoliPol/" TargetMode="External" /><Relationship Id="rId1" Type="http://schemas.openxmlformats.org/officeDocument/2006/relationships/image" Target="../media/image23.jpg" /><Relationship Id="rId6" Type="http://schemas.openxmlformats.org/officeDocument/2006/relationships/hyperlink" Target="https://api.whatsapp.com/send?phone=79184226977" TargetMode="External" /><Relationship Id="rId11" Type="http://schemas.openxmlformats.org/officeDocument/2006/relationships/image" Target="../media/image6.png" /><Relationship Id="rId5" Type="http://schemas.openxmlformats.org/officeDocument/2006/relationships/image" Target="../media/image3.png" /><Relationship Id="rId15" Type="http://schemas.openxmlformats.org/officeDocument/2006/relationships/image" Target="../media/image8.png" /><Relationship Id="rId10" Type="http://schemas.openxmlformats.org/officeDocument/2006/relationships/hyperlink" Target="https://www.instagram.com/stolipol/" TargetMode="External" /><Relationship Id="rId4" Type="http://schemas.openxmlformats.org/officeDocument/2006/relationships/hyperlink" Target="https://api.whatsapp.com/send?phone=375255000009" TargetMode="External" /><Relationship Id="rId9" Type="http://schemas.openxmlformats.org/officeDocument/2006/relationships/image" Target="../media/image5.png" /><Relationship Id="rId14" Type="http://schemas.openxmlformats.org/officeDocument/2006/relationships/hyperlink" Target="https://stolipol.ru/" TargetMode="External" 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api.whatsapp.com/send?phone=79184226977" TargetMode="External" /><Relationship Id="rId13" Type="http://schemas.openxmlformats.org/officeDocument/2006/relationships/image" Target="../media/image6.png" /><Relationship Id="rId18" Type="http://schemas.openxmlformats.org/officeDocument/2006/relationships/hyperlink" Target="https://www.facebook.com/StoliPol/" TargetMode="External" /><Relationship Id="rId3" Type="http://schemas.openxmlformats.org/officeDocument/2006/relationships/image" Target="../media/image23.jpg" /><Relationship Id="rId7" Type="http://schemas.openxmlformats.org/officeDocument/2006/relationships/image" Target="../media/image3.png" /><Relationship Id="rId12" Type="http://schemas.openxmlformats.org/officeDocument/2006/relationships/hyperlink" Target="https://www.instagram.com/stolipol/" TargetMode="External" /><Relationship Id="rId17" Type="http://schemas.openxmlformats.org/officeDocument/2006/relationships/image" Target="../media/image8.png" /><Relationship Id="rId2" Type="http://schemas.openxmlformats.org/officeDocument/2006/relationships/image" Target="../media/image25.jpg" /><Relationship Id="rId16" Type="http://schemas.openxmlformats.org/officeDocument/2006/relationships/hyperlink" Target="https://stolipol.ru/" TargetMode="External" /><Relationship Id="rId1" Type="http://schemas.openxmlformats.org/officeDocument/2006/relationships/image" Target="../media/image24.jpg" /><Relationship Id="rId6" Type="http://schemas.openxmlformats.org/officeDocument/2006/relationships/hyperlink" Target="https://api.whatsapp.com/send?phone=375255000009" TargetMode="External" /><Relationship Id="rId11" Type="http://schemas.openxmlformats.org/officeDocument/2006/relationships/image" Target="../media/image5.png" /><Relationship Id="rId5" Type="http://schemas.openxmlformats.org/officeDocument/2006/relationships/image" Target="../media/image2.png" /><Relationship Id="rId15" Type="http://schemas.openxmlformats.org/officeDocument/2006/relationships/image" Target="../media/image7.png" /><Relationship Id="rId10" Type="http://schemas.openxmlformats.org/officeDocument/2006/relationships/hyperlink" Target="mailto:info@StoliPol.ru" TargetMode="External" /><Relationship Id="rId19" Type="http://schemas.openxmlformats.org/officeDocument/2006/relationships/image" Target="../media/image9.png" /><Relationship Id="rId4" Type="http://schemas.openxmlformats.org/officeDocument/2006/relationships/hyperlink" Target="https://yandex.ru/maps/-/CGws4Zi9" TargetMode="External" /><Relationship Id="rId9" Type="http://schemas.openxmlformats.org/officeDocument/2006/relationships/image" Target="../media/image4.png" /><Relationship Id="rId14" Type="http://schemas.openxmlformats.org/officeDocument/2006/relationships/hyperlink" Target="https://www.youtube.com/channel/UCBDVAismhg0vNtlFoC2K-TA" TargetMode="External" 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 /><Relationship Id="rId13" Type="http://schemas.openxmlformats.org/officeDocument/2006/relationships/hyperlink" Target="https://stolipol.ru/" TargetMode="External" /><Relationship Id="rId3" Type="http://schemas.openxmlformats.org/officeDocument/2006/relationships/hyperlink" Target="https://api.whatsapp.com/send?phone=375255000009" TargetMode="External" /><Relationship Id="rId7" Type="http://schemas.openxmlformats.org/officeDocument/2006/relationships/hyperlink" Target="mailto:info@StoliPol.ru" TargetMode="External" /><Relationship Id="rId12" Type="http://schemas.openxmlformats.org/officeDocument/2006/relationships/image" Target="../media/image7.png" /><Relationship Id="rId2" Type="http://schemas.openxmlformats.org/officeDocument/2006/relationships/image" Target="../media/image2.png" /><Relationship Id="rId16" Type="http://schemas.openxmlformats.org/officeDocument/2006/relationships/image" Target="../media/image9.png" /><Relationship Id="rId1" Type="http://schemas.openxmlformats.org/officeDocument/2006/relationships/hyperlink" Target="https://yandex.ru/maps/-/CGws4Zi9" TargetMode="External" /><Relationship Id="rId6" Type="http://schemas.openxmlformats.org/officeDocument/2006/relationships/image" Target="../media/image4.png" /><Relationship Id="rId11" Type="http://schemas.openxmlformats.org/officeDocument/2006/relationships/hyperlink" Target="https://www.youtube.com/channel/UCBDVAismhg0vNtlFoC2K-TA" TargetMode="External" /><Relationship Id="rId5" Type="http://schemas.openxmlformats.org/officeDocument/2006/relationships/hyperlink" Target="https://api.whatsapp.com/send?phone=79184226977" TargetMode="External" /><Relationship Id="rId15" Type="http://schemas.openxmlformats.org/officeDocument/2006/relationships/hyperlink" Target="https://www.facebook.com/StoliPol/" TargetMode="External" /><Relationship Id="rId10" Type="http://schemas.openxmlformats.org/officeDocument/2006/relationships/image" Target="../media/image6.png" /><Relationship Id="rId4" Type="http://schemas.openxmlformats.org/officeDocument/2006/relationships/image" Target="../media/image3.png" /><Relationship Id="rId9" Type="http://schemas.openxmlformats.org/officeDocument/2006/relationships/hyperlink" Target="https://www.instagram.com/stolipol/" TargetMode="External" /><Relationship Id="rId14" Type="http://schemas.openxmlformats.org/officeDocument/2006/relationships/image" Target="../media/image8.png" 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api.whatsapp.com/send?phone=79184226977" TargetMode="External" /><Relationship Id="rId13" Type="http://schemas.openxmlformats.org/officeDocument/2006/relationships/image" Target="../media/image6.png" /><Relationship Id="rId18" Type="http://schemas.openxmlformats.org/officeDocument/2006/relationships/hyperlink" Target="https://www.facebook.com/StoliPol/" TargetMode="External" /><Relationship Id="rId3" Type="http://schemas.openxmlformats.org/officeDocument/2006/relationships/image" Target="../media/image23.jpg" /><Relationship Id="rId7" Type="http://schemas.openxmlformats.org/officeDocument/2006/relationships/image" Target="../media/image3.png" /><Relationship Id="rId12" Type="http://schemas.openxmlformats.org/officeDocument/2006/relationships/hyperlink" Target="https://www.instagram.com/stolipol/" TargetMode="External" /><Relationship Id="rId17" Type="http://schemas.openxmlformats.org/officeDocument/2006/relationships/image" Target="../media/image8.png" /><Relationship Id="rId2" Type="http://schemas.openxmlformats.org/officeDocument/2006/relationships/image" Target="../media/image25.jpg" /><Relationship Id="rId16" Type="http://schemas.openxmlformats.org/officeDocument/2006/relationships/hyperlink" Target="https://stolipol.ru/" TargetMode="External" /><Relationship Id="rId1" Type="http://schemas.openxmlformats.org/officeDocument/2006/relationships/image" Target="../media/image24.jpg" /><Relationship Id="rId6" Type="http://schemas.openxmlformats.org/officeDocument/2006/relationships/hyperlink" Target="https://api.whatsapp.com/send?phone=375255000009" TargetMode="External" /><Relationship Id="rId11" Type="http://schemas.openxmlformats.org/officeDocument/2006/relationships/image" Target="../media/image5.png" /><Relationship Id="rId5" Type="http://schemas.openxmlformats.org/officeDocument/2006/relationships/image" Target="../media/image2.png" /><Relationship Id="rId15" Type="http://schemas.openxmlformats.org/officeDocument/2006/relationships/image" Target="../media/image7.png" /><Relationship Id="rId10" Type="http://schemas.openxmlformats.org/officeDocument/2006/relationships/hyperlink" Target="mailto:info@StoliPol.ru" TargetMode="External" /><Relationship Id="rId19" Type="http://schemas.openxmlformats.org/officeDocument/2006/relationships/image" Target="../media/image9.png" /><Relationship Id="rId4" Type="http://schemas.openxmlformats.org/officeDocument/2006/relationships/hyperlink" Target="https://yandex.ru/maps/-/CGws4Zi9" TargetMode="External" /><Relationship Id="rId9" Type="http://schemas.openxmlformats.org/officeDocument/2006/relationships/image" Target="../media/image4.png" /><Relationship Id="rId14" Type="http://schemas.openxmlformats.org/officeDocument/2006/relationships/hyperlink" Target="https://www.youtube.com/channel/UCBDVAismhg0vNtlFoC2K-TA" TargetMode="Externa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14246</xdr:colOff>
      <xdr:row>54</xdr:row>
      <xdr:rowOff>3541</xdr:rowOff>
    </xdr:from>
    <xdr:to>
      <xdr:col>1</xdr:col>
      <xdr:colOff>2774731</xdr:colOff>
      <xdr:row>60</xdr:row>
      <xdr:rowOff>183930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15E9F7-9ED4-4164-91EC-8B47B7FF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98" y="13288617"/>
          <a:ext cx="2760485" cy="13155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1529428</xdr:colOff>
      <xdr:row>0</xdr:row>
      <xdr:rowOff>1747682</xdr:rowOff>
    </xdr:from>
    <xdr:to>
      <xdr:col>1</xdr:col>
      <xdr:colOff>0</xdr:colOff>
      <xdr:row>2</xdr:row>
      <xdr:rowOff>39756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954060-6E81-4A27-8789-B30FDF86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428" y="1747682"/>
          <a:ext cx="352712" cy="418054"/>
        </a:xfrm>
        <a:prstGeom prst="rect">
          <a:avLst/>
        </a:prstGeom>
      </xdr:spPr>
    </xdr:pic>
    <xdr:clientData/>
  </xdr:twoCellAnchor>
  <xdr:twoCellAnchor editAs="oneCell">
    <xdr:from>
      <xdr:col>0</xdr:col>
      <xdr:colOff>1536217</xdr:colOff>
      <xdr:row>1</xdr:row>
      <xdr:rowOff>447309</xdr:rowOff>
    </xdr:from>
    <xdr:to>
      <xdr:col>0</xdr:col>
      <xdr:colOff>1868556</xdr:colOff>
      <xdr:row>3</xdr:row>
      <xdr:rowOff>60629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37A6B-0B6C-4929-8BF3-A5DCD7B0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6217" y="2123709"/>
          <a:ext cx="332339" cy="38294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1197052</xdr:colOff>
      <xdr:row>1</xdr:row>
      <xdr:rowOff>288819</xdr:rowOff>
    </xdr:from>
    <xdr:to>
      <xdr:col>1</xdr:col>
      <xdr:colOff>1559860</xdr:colOff>
      <xdr:row>3</xdr:row>
      <xdr:rowOff>53788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6FEA3-2522-41D6-B73F-30E349A9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192" y="2109999"/>
          <a:ext cx="362808" cy="389809"/>
        </a:xfrm>
        <a:prstGeom prst="rect">
          <a:avLst/>
        </a:prstGeom>
      </xdr:spPr>
    </xdr:pic>
    <xdr:clientData/>
  </xdr:twoCellAnchor>
  <xdr:twoCellAnchor editAs="oneCell">
    <xdr:from>
      <xdr:col>1</xdr:col>
      <xdr:colOff>1020417</xdr:colOff>
      <xdr:row>3</xdr:row>
      <xdr:rowOff>20045</xdr:rowOff>
    </xdr:from>
    <xdr:to>
      <xdr:col>1</xdr:col>
      <xdr:colOff>1364974</xdr:colOff>
      <xdr:row>4</xdr:row>
      <xdr:rowOff>23427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F027A2B-F202-4DFA-A186-AD73E0BD1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02557" y="2466065"/>
          <a:ext cx="344557" cy="331042"/>
        </a:xfrm>
        <a:prstGeom prst="rect">
          <a:avLst/>
        </a:prstGeom>
      </xdr:spPr>
    </xdr:pic>
    <xdr:clientData/>
  </xdr:twoCellAnchor>
  <xdr:twoCellAnchor editAs="oneCell">
    <xdr:from>
      <xdr:col>1</xdr:col>
      <xdr:colOff>653547</xdr:colOff>
      <xdr:row>4</xdr:row>
      <xdr:rowOff>6626</xdr:rowOff>
    </xdr:from>
    <xdr:to>
      <xdr:col>1</xdr:col>
      <xdr:colOff>954155</xdr:colOff>
      <xdr:row>4</xdr:row>
      <xdr:rowOff>335863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C584445-4AFC-45B0-A414-8EE92C39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35687" y="2780306"/>
          <a:ext cx="300608" cy="32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1537251</xdr:colOff>
      <xdr:row>3</xdr:row>
      <xdr:rowOff>316395</xdr:rowOff>
    </xdr:from>
    <xdr:to>
      <xdr:col>0</xdr:col>
      <xdr:colOff>1842051</xdr:colOff>
      <xdr:row>4</xdr:row>
      <xdr:rowOff>343409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8E20C46-DAD5-47ED-8FDB-57A23D20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37251" y="2762415"/>
          <a:ext cx="304800" cy="354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3</xdr:col>
      <xdr:colOff>572814</xdr:colOff>
      <xdr:row>1</xdr:row>
      <xdr:rowOff>6627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9C59095-470D-40F1-9E76-0F367F55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"/>
          <a:ext cx="5859516" cy="1830171"/>
        </a:xfrm>
        <a:prstGeom prst="rect">
          <a:avLst/>
        </a:prstGeom>
      </xdr:spPr>
    </xdr:pic>
    <xdr:clientData/>
  </xdr:twoCellAnchor>
  <xdr:twoCellAnchor editAs="oneCell">
    <xdr:from>
      <xdr:col>0</xdr:col>
      <xdr:colOff>1541259</xdr:colOff>
      <xdr:row>2</xdr:row>
      <xdr:rowOff>458841</xdr:rowOff>
    </xdr:from>
    <xdr:to>
      <xdr:col>0</xdr:col>
      <xdr:colOff>1861931</xdr:colOff>
      <xdr:row>4</xdr:row>
      <xdr:rowOff>8614</xdr:rowOff>
    </xdr:to>
    <xdr:pic>
      <xdr:nvPicPr>
        <xdr:cNvPr id="10" name="Рисунок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E8387E9-3447-4283-9C0D-3809FD96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41259" y="2447661"/>
          <a:ext cx="320672" cy="33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16935</xdr:colOff>
      <xdr:row>70</xdr:row>
      <xdr:rowOff>6627</xdr:rowOff>
    </xdr:from>
    <xdr:to>
      <xdr:col>2</xdr:col>
      <xdr:colOff>1</xdr:colOff>
      <xdr:row>76</xdr:row>
      <xdr:rowOff>178676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3D6341C-1E55-433F-AE41-18F890F9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8287" y="16570930"/>
          <a:ext cx="2773562" cy="1307167"/>
        </a:xfrm>
        <a:prstGeom prst="rect">
          <a:avLst/>
        </a:prstGeom>
      </xdr:spPr>
    </xdr:pic>
    <xdr:clientData/>
  </xdr:twoCellAnchor>
  <xdr:twoCellAnchor editAs="oneCell">
    <xdr:from>
      <xdr:col>1</xdr:col>
      <xdr:colOff>10551</xdr:colOff>
      <xdr:row>38</xdr:row>
      <xdr:rowOff>6395</xdr:rowOff>
    </xdr:from>
    <xdr:to>
      <xdr:col>2</xdr:col>
      <xdr:colOff>0</xdr:colOff>
      <xdr:row>44</xdr:row>
      <xdr:rowOff>175847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B541DE-1AEC-4272-9B7B-EE40E117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903" y="10012243"/>
          <a:ext cx="2779945" cy="1304570"/>
        </a:xfrm>
        <a:prstGeom prst="rect">
          <a:avLst/>
        </a:prstGeom>
      </xdr:spPr>
    </xdr:pic>
    <xdr:clientData/>
  </xdr:twoCellAnchor>
  <xdr:twoCellAnchor editAs="oneCell">
    <xdr:from>
      <xdr:col>1</xdr:col>
      <xdr:colOff>953004</xdr:colOff>
      <xdr:row>14</xdr:row>
      <xdr:rowOff>11656</xdr:rowOff>
    </xdr:from>
    <xdr:to>
      <xdr:col>1</xdr:col>
      <xdr:colOff>2743199</xdr:colOff>
      <xdr:row>20</xdr:row>
      <xdr:rowOff>175847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426B3EB-0085-4CD9-A245-985251C7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34558" y="5128779"/>
          <a:ext cx="1790195" cy="13247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6</xdr:row>
      <xdr:rowOff>29119</xdr:rowOff>
    </xdr:from>
    <xdr:to>
      <xdr:col>1</xdr:col>
      <xdr:colOff>2779986</xdr:colOff>
      <xdr:row>12</xdr:row>
      <xdr:rowOff>171450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540AE8F-A83B-4A86-BED6-9FC99DF6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90878" y="3476512"/>
          <a:ext cx="2770460" cy="1277448"/>
        </a:xfrm>
        <a:prstGeom prst="rect">
          <a:avLst/>
        </a:prstGeom>
      </xdr:spPr>
    </xdr:pic>
    <xdr:clientData/>
  </xdr:twoCellAnchor>
  <xdr:oneCellAnchor>
    <xdr:from>
      <xdr:col>1</xdr:col>
      <xdr:colOff>953004</xdr:colOff>
      <xdr:row>30</xdr:row>
      <xdr:rowOff>11656</xdr:rowOff>
    </xdr:from>
    <xdr:ext cx="1790195" cy="1296882"/>
    <xdr:pic>
      <xdr:nvPicPr>
        <xdr:cNvPr id="23" name="Рисунок 22">
          <a:extLst>
            <a:ext uri="{FF2B5EF4-FFF2-40B4-BE49-F238E27FC236}">
              <a16:creationId xmlns:a16="http://schemas.microsoft.com/office/drawing/2014/main" id="{EC664134-C548-4D4E-8610-590252BF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34356" y="8377890"/>
          <a:ext cx="1790195" cy="1296882"/>
        </a:xfrm>
        <a:prstGeom prst="rect">
          <a:avLst/>
        </a:prstGeom>
      </xdr:spPr>
    </xdr:pic>
    <xdr:clientData/>
  </xdr:oneCellAnchor>
  <xdr:oneCellAnchor>
    <xdr:from>
      <xdr:col>1</xdr:col>
      <xdr:colOff>9526</xdr:colOff>
      <xdr:row>22</xdr:row>
      <xdr:rowOff>29119</xdr:rowOff>
    </xdr:from>
    <xdr:ext cx="2770460" cy="1302916"/>
    <xdr:pic>
      <xdr:nvPicPr>
        <xdr:cNvPr id="24" name="Рисунок 23">
          <a:extLst>
            <a:ext uri="{FF2B5EF4-FFF2-40B4-BE49-F238E27FC236}">
              <a16:creationId xmlns:a16="http://schemas.microsoft.com/office/drawing/2014/main" id="{AC96CFD2-14DD-4BD9-B5AE-133F20CD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90878" y="6755740"/>
          <a:ext cx="2770460" cy="130291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46</xdr:row>
      <xdr:rowOff>0</xdr:rowOff>
    </xdr:from>
    <xdr:to>
      <xdr:col>1</xdr:col>
      <xdr:colOff>2769476</xdr:colOff>
      <xdr:row>52</xdr:row>
      <xdr:rowOff>169451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7DD5884-8B96-4175-BA45-C05FCB7A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352" y="11645462"/>
          <a:ext cx="2769476" cy="1304569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</xdr:colOff>
      <xdr:row>62</xdr:row>
      <xdr:rowOff>0</xdr:rowOff>
    </xdr:from>
    <xdr:to>
      <xdr:col>1</xdr:col>
      <xdr:colOff>2779986</xdr:colOff>
      <xdr:row>68</xdr:row>
      <xdr:rowOff>178166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9F0A39E-7AB5-4E0E-912B-9FE8E3AA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936" y="14924690"/>
          <a:ext cx="2762402" cy="1313284"/>
        </a:xfrm>
        <a:prstGeom prst="rect">
          <a:avLst/>
        </a:prstGeom>
      </xdr:spPr>
    </xdr:pic>
    <xdr:clientData/>
  </xdr:twoCellAnchor>
  <xdr:twoCellAnchor editAs="oneCell">
    <xdr:from>
      <xdr:col>1</xdr:col>
      <xdr:colOff>10511</xdr:colOff>
      <xdr:row>78</xdr:row>
      <xdr:rowOff>5255</xdr:rowOff>
    </xdr:from>
    <xdr:to>
      <xdr:col>2</xdr:col>
      <xdr:colOff>1</xdr:colOff>
      <xdr:row>84</xdr:row>
      <xdr:rowOff>177304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DE82855-295A-4D1C-B527-7522FA66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1863" y="18209172"/>
          <a:ext cx="2779986" cy="1307167"/>
        </a:xfrm>
        <a:prstGeom prst="rect">
          <a:avLst/>
        </a:prstGeom>
      </xdr:spPr>
    </xdr:pic>
    <xdr:clientData/>
  </xdr:twoCellAnchor>
  <xdr:oneCellAnchor>
    <xdr:from>
      <xdr:col>1</xdr:col>
      <xdr:colOff>16935</xdr:colOff>
      <xdr:row>86</xdr:row>
      <xdr:rowOff>6627</xdr:rowOff>
    </xdr:from>
    <xdr:ext cx="2773562" cy="1307167"/>
    <xdr:pic>
      <xdr:nvPicPr>
        <xdr:cNvPr id="34" name="Рисунок 33">
          <a:extLst>
            <a:ext uri="{FF2B5EF4-FFF2-40B4-BE49-F238E27FC236}">
              <a16:creationId xmlns:a16="http://schemas.microsoft.com/office/drawing/2014/main" id="{BEF7AB7D-4913-4580-ACB3-12E9CA3D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8287" y="19850158"/>
          <a:ext cx="2773562" cy="1307167"/>
        </a:xfrm>
        <a:prstGeom prst="rect">
          <a:avLst/>
        </a:prstGeom>
      </xdr:spPr>
    </xdr:pic>
    <xdr:clientData/>
  </xdr:oneCellAnchor>
  <xdr:oneCellAnchor>
    <xdr:from>
      <xdr:col>1</xdr:col>
      <xdr:colOff>10510</xdr:colOff>
      <xdr:row>94</xdr:row>
      <xdr:rowOff>5255</xdr:rowOff>
    </xdr:from>
    <xdr:ext cx="2774731" cy="1307167"/>
    <xdr:pic>
      <xdr:nvPicPr>
        <xdr:cNvPr id="35" name="Рисунок 34">
          <a:extLst>
            <a:ext uri="{FF2B5EF4-FFF2-40B4-BE49-F238E27FC236}">
              <a16:creationId xmlns:a16="http://schemas.microsoft.com/office/drawing/2014/main" id="{C124C392-8397-4D73-ABB1-E7F3F0B9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1862" y="21488400"/>
          <a:ext cx="2774731" cy="130716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14246</xdr:colOff>
      <xdr:row>93</xdr:row>
      <xdr:rowOff>73880</xdr:rowOff>
    </xdr:from>
    <xdr:to>
      <xdr:col>1</xdr:col>
      <xdr:colOff>3426102</xdr:colOff>
      <xdr:row>102</xdr:row>
      <xdr:rowOff>159026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F6817B3-A45E-46A4-A706-9BCD0DC6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055" y="20568367"/>
          <a:ext cx="3411856" cy="1754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1529428</xdr:colOff>
      <xdr:row>0</xdr:row>
      <xdr:rowOff>1747682</xdr:rowOff>
    </xdr:from>
    <xdr:to>
      <xdr:col>1</xdr:col>
      <xdr:colOff>0</xdr:colOff>
      <xdr:row>2</xdr:row>
      <xdr:rowOff>39756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9BF4D0-BA56-431B-8637-B8E0373C0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428" y="1747682"/>
          <a:ext cx="352712" cy="418054"/>
        </a:xfrm>
        <a:prstGeom prst="rect">
          <a:avLst/>
        </a:prstGeom>
      </xdr:spPr>
    </xdr:pic>
    <xdr:clientData/>
  </xdr:twoCellAnchor>
  <xdr:twoCellAnchor editAs="oneCell">
    <xdr:from>
      <xdr:col>0</xdr:col>
      <xdr:colOff>1536217</xdr:colOff>
      <xdr:row>1</xdr:row>
      <xdr:rowOff>447309</xdr:rowOff>
    </xdr:from>
    <xdr:to>
      <xdr:col>0</xdr:col>
      <xdr:colOff>1868556</xdr:colOff>
      <xdr:row>3</xdr:row>
      <xdr:rowOff>60629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EA52C1-7929-4D6F-92A3-7BEF1E388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6217" y="2123709"/>
          <a:ext cx="332339" cy="38294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1197052</xdr:colOff>
      <xdr:row>1</xdr:row>
      <xdr:rowOff>288819</xdr:rowOff>
    </xdr:from>
    <xdr:to>
      <xdr:col>1</xdr:col>
      <xdr:colOff>1559860</xdr:colOff>
      <xdr:row>3</xdr:row>
      <xdr:rowOff>53788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9FF58C7-427B-4882-8CD0-6A697D9D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192" y="2109999"/>
          <a:ext cx="362808" cy="389809"/>
        </a:xfrm>
        <a:prstGeom prst="rect">
          <a:avLst/>
        </a:prstGeom>
      </xdr:spPr>
    </xdr:pic>
    <xdr:clientData/>
  </xdr:twoCellAnchor>
  <xdr:twoCellAnchor editAs="oneCell">
    <xdr:from>
      <xdr:col>1</xdr:col>
      <xdr:colOff>1020417</xdr:colOff>
      <xdr:row>3</xdr:row>
      <xdr:rowOff>20045</xdr:rowOff>
    </xdr:from>
    <xdr:to>
      <xdr:col>1</xdr:col>
      <xdr:colOff>1364974</xdr:colOff>
      <xdr:row>4</xdr:row>
      <xdr:rowOff>23427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E2606A1-30F0-4ECE-AF73-75E96FD7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02557" y="2466065"/>
          <a:ext cx="344557" cy="331042"/>
        </a:xfrm>
        <a:prstGeom prst="rect">
          <a:avLst/>
        </a:prstGeom>
      </xdr:spPr>
    </xdr:pic>
    <xdr:clientData/>
  </xdr:twoCellAnchor>
  <xdr:twoCellAnchor editAs="oneCell">
    <xdr:from>
      <xdr:col>1</xdr:col>
      <xdr:colOff>653547</xdr:colOff>
      <xdr:row>4</xdr:row>
      <xdr:rowOff>6626</xdr:rowOff>
    </xdr:from>
    <xdr:to>
      <xdr:col>1</xdr:col>
      <xdr:colOff>954155</xdr:colOff>
      <xdr:row>4</xdr:row>
      <xdr:rowOff>335863</xdr:rowOff>
    </xdr:to>
    <xdr:pic>
      <xdr:nvPicPr>
        <xdr:cNvPr id="8" name="Рисунок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C4371A1-7642-4CBD-B12F-DB4F0D86B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35687" y="2780306"/>
          <a:ext cx="300608" cy="32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1537251</xdr:colOff>
      <xdr:row>3</xdr:row>
      <xdr:rowOff>316395</xdr:rowOff>
    </xdr:from>
    <xdr:to>
      <xdr:col>0</xdr:col>
      <xdr:colOff>1842051</xdr:colOff>
      <xdr:row>4</xdr:row>
      <xdr:rowOff>343409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2382BA2-1477-4348-962F-B0071D20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37251" y="2762415"/>
          <a:ext cx="304800" cy="354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596348</xdr:colOff>
      <xdr:row>1</xdr:row>
      <xdr:rowOff>6627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E7CBE38-42E4-478D-8659-CEB72F785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"/>
          <a:ext cx="5907487" cy="1827806"/>
        </a:xfrm>
        <a:prstGeom prst="rect">
          <a:avLst/>
        </a:prstGeom>
      </xdr:spPr>
    </xdr:pic>
    <xdr:clientData/>
  </xdr:twoCellAnchor>
  <xdr:twoCellAnchor editAs="oneCell">
    <xdr:from>
      <xdr:col>0</xdr:col>
      <xdr:colOff>1541259</xdr:colOff>
      <xdr:row>2</xdr:row>
      <xdr:rowOff>458841</xdr:rowOff>
    </xdr:from>
    <xdr:to>
      <xdr:col>0</xdr:col>
      <xdr:colOff>1861931</xdr:colOff>
      <xdr:row>4</xdr:row>
      <xdr:rowOff>8614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C4FBB55-5DC9-4FC6-A10C-0F450E90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41259" y="2447661"/>
          <a:ext cx="320672" cy="33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16935</xdr:colOff>
      <xdr:row>104</xdr:row>
      <xdr:rowOff>6627</xdr:rowOff>
    </xdr:from>
    <xdr:to>
      <xdr:col>1</xdr:col>
      <xdr:colOff>3428006</xdr:colOff>
      <xdr:row>114</xdr:row>
      <xdr:rowOff>6626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0000AFF-126F-4D0A-9C43-A03C0BDE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8744" y="22773862"/>
          <a:ext cx="3411071" cy="185530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82</xdr:row>
      <xdr:rowOff>27496</xdr:rowOff>
    </xdr:from>
    <xdr:to>
      <xdr:col>1</xdr:col>
      <xdr:colOff>3425688</xdr:colOff>
      <xdr:row>92</xdr:row>
      <xdr:rowOff>2649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CCE3D03-1E8E-465D-9EF2-42D28268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429" y="18249235"/>
          <a:ext cx="3418068" cy="182780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148</xdr:row>
      <xdr:rowOff>30480</xdr:rowOff>
    </xdr:from>
    <xdr:to>
      <xdr:col>1</xdr:col>
      <xdr:colOff>3421380</xdr:colOff>
      <xdr:row>155</xdr:row>
      <xdr:rowOff>350518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1181D4F-8AAF-4BB8-8ED3-14430112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1" y="11650980"/>
          <a:ext cx="3390899" cy="2880359"/>
        </a:xfrm>
        <a:prstGeom prst="rect">
          <a:avLst/>
        </a:prstGeom>
      </xdr:spPr>
    </xdr:pic>
    <xdr:clientData/>
  </xdr:twoCellAnchor>
  <xdr:oneCellAnchor>
    <xdr:from>
      <xdr:col>1</xdr:col>
      <xdr:colOff>30481</xdr:colOff>
      <xdr:row>157</xdr:row>
      <xdr:rowOff>30480</xdr:rowOff>
    </xdr:from>
    <xdr:ext cx="3390899" cy="2910839"/>
    <xdr:pic>
      <xdr:nvPicPr>
        <xdr:cNvPr id="18" name="Рисунок 17">
          <a:extLst>
            <a:ext uri="{FF2B5EF4-FFF2-40B4-BE49-F238E27FC236}">
              <a16:creationId xmlns:a16="http://schemas.microsoft.com/office/drawing/2014/main" id="{979521E3-FD4B-4AB2-BB6E-3A090C187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710" y="25263566"/>
          <a:ext cx="3390899" cy="2910839"/>
        </a:xfrm>
        <a:prstGeom prst="rect">
          <a:avLst/>
        </a:prstGeom>
      </xdr:spPr>
    </xdr:pic>
    <xdr:clientData/>
  </xdr:oneCellAnchor>
  <xdr:twoCellAnchor editAs="oneCell">
    <xdr:from>
      <xdr:col>1</xdr:col>
      <xdr:colOff>19154</xdr:colOff>
      <xdr:row>44</xdr:row>
      <xdr:rowOff>11236</xdr:rowOff>
    </xdr:from>
    <xdr:to>
      <xdr:col>1</xdr:col>
      <xdr:colOff>3419061</xdr:colOff>
      <xdr:row>61</xdr:row>
      <xdr:rowOff>141889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8231F39-C996-4A48-83BE-B531877C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0506" y="10742298"/>
          <a:ext cx="3399907" cy="3262736"/>
        </a:xfrm>
        <a:prstGeom prst="rect">
          <a:avLst/>
        </a:prstGeom>
      </xdr:spPr>
    </xdr:pic>
    <xdr:clientData/>
  </xdr:twoCellAnchor>
  <xdr:twoCellAnchor editAs="oneCell">
    <xdr:from>
      <xdr:col>1</xdr:col>
      <xdr:colOff>21020</xdr:colOff>
      <xdr:row>24</xdr:row>
      <xdr:rowOff>320565</xdr:rowOff>
    </xdr:from>
    <xdr:to>
      <xdr:col>1</xdr:col>
      <xdr:colOff>3424990</xdr:colOff>
      <xdr:row>42</xdr:row>
      <xdr:rowOff>173420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FD79268-663E-47F2-833F-429E50CE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2372" y="7089227"/>
          <a:ext cx="3403970" cy="3305503"/>
        </a:xfrm>
        <a:prstGeom prst="rect">
          <a:avLst/>
        </a:prstGeom>
      </xdr:spPr>
    </xdr:pic>
    <xdr:clientData/>
  </xdr:twoCellAnchor>
  <xdr:twoCellAnchor editAs="oneCell">
    <xdr:from>
      <xdr:col>1</xdr:col>
      <xdr:colOff>15765</xdr:colOff>
      <xdr:row>62</xdr:row>
      <xdr:rowOff>315311</xdr:rowOff>
    </xdr:from>
    <xdr:to>
      <xdr:col>1</xdr:col>
      <xdr:colOff>3419735</xdr:colOff>
      <xdr:row>80</xdr:row>
      <xdr:rowOff>168166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3478B3F-BC62-4A6A-BFE4-5D21CD81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97117" y="14367642"/>
          <a:ext cx="3403970" cy="3305503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</xdr:colOff>
      <xdr:row>6</xdr:row>
      <xdr:rowOff>33130</xdr:rowOff>
    </xdr:from>
    <xdr:to>
      <xdr:col>1</xdr:col>
      <xdr:colOff>3419785</xdr:colOff>
      <xdr:row>23</xdr:row>
      <xdr:rowOff>163783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33705BA-15EB-45F3-8694-D8FCF204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1687" y="3472069"/>
          <a:ext cx="3399907" cy="3291297"/>
        </a:xfrm>
        <a:prstGeom prst="rect">
          <a:avLst/>
        </a:prstGeom>
      </xdr:spPr>
    </xdr:pic>
    <xdr:clientData/>
  </xdr:twoCellAnchor>
  <xdr:oneCellAnchor>
    <xdr:from>
      <xdr:col>1</xdr:col>
      <xdr:colOff>14246</xdr:colOff>
      <xdr:row>126</xdr:row>
      <xdr:rowOff>73880</xdr:rowOff>
    </xdr:from>
    <xdr:ext cx="3411856" cy="1731066"/>
    <xdr:pic>
      <xdr:nvPicPr>
        <xdr:cNvPr id="34" name="Рисунок 33">
          <a:extLst>
            <a:ext uri="{FF2B5EF4-FFF2-40B4-BE49-F238E27FC236}">
              <a16:creationId xmlns:a16="http://schemas.microsoft.com/office/drawing/2014/main" id="{1F8A882C-8FF4-4446-8386-1B45D917C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386" y="20373560"/>
          <a:ext cx="3411856" cy="1731066"/>
        </a:xfrm>
        <a:prstGeom prst="rect">
          <a:avLst/>
        </a:prstGeom>
      </xdr:spPr>
    </xdr:pic>
    <xdr:clientData/>
  </xdr:oneCellAnchor>
  <xdr:oneCellAnchor>
    <xdr:from>
      <xdr:col>1</xdr:col>
      <xdr:colOff>16935</xdr:colOff>
      <xdr:row>137</xdr:row>
      <xdr:rowOff>6627</xdr:rowOff>
    </xdr:from>
    <xdr:ext cx="3411071" cy="1828799"/>
    <xdr:pic>
      <xdr:nvPicPr>
        <xdr:cNvPr id="35" name="Рисунок 34">
          <a:extLst>
            <a:ext uri="{FF2B5EF4-FFF2-40B4-BE49-F238E27FC236}">
              <a16:creationId xmlns:a16="http://schemas.microsoft.com/office/drawing/2014/main" id="{AC914721-B898-48FB-9EB8-5724EC79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9075" y="22554207"/>
          <a:ext cx="3411071" cy="1828799"/>
        </a:xfrm>
        <a:prstGeom prst="rect">
          <a:avLst/>
        </a:prstGeom>
      </xdr:spPr>
    </xdr:pic>
    <xdr:clientData/>
  </xdr:oneCellAnchor>
  <xdr:oneCellAnchor>
    <xdr:from>
      <xdr:col>1</xdr:col>
      <xdr:colOff>7620</xdr:colOff>
      <xdr:row>115</xdr:row>
      <xdr:rowOff>27496</xdr:rowOff>
    </xdr:from>
    <xdr:ext cx="3418068" cy="1803953"/>
    <xdr:pic>
      <xdr:nvPicPr>
        <xdr:cNvPr id="36" name="Рисунок 35">
          <a:extLst>
            <a:ext uri="{FF2B5EF4-FFF2-40B4-BE49-F238E27FC236}">
              <a16:creationId xmlns:a16="http://schemas.microsoft.com/office/drawing/2014/main" id="{16C5E5F6-DB44-42A9-A02F-EF2C8C8C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" y="18079276"/>
          <a:ext cx="3418068" cy="180395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17146</xdr:colOff>
      <xdr:row>6</xdr:row>
      <xdr:rowOff>8373</xdr:rowOff>
    </xdr:from>
    <xdr:to>
      <xdr:col>2</xdr:col>
      <xdr:colOff>0</xdr:colOff>
      <xdr:row>16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3EE482F-98DD-48D9-93F5-77C9073E7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558" y="3459785"/>
          <a:ext cx="3411854" cy="1945933"/>
        </a:xfrm>
        <a:prstGeom prst="rect">
          <a:avLst/>
        </a:prstGeom>
      </xdr:spPr>
    </xdr:pic>
    <xdr:clientData/>
  </xdr:twoCellAnchor>
  <xdr:twoCellAnchor editAs="oneCell">
    <xdr:from>
      <xdr:col>0</xdr:col>
      <xdr:colOff>1529428</xdr:colOff>
      <xdr:row>0</xdr:row>
      <xdr:rowOff>1747682</xdr:rowOff>
    </xdr:from>
    <xdr:to>
      <xdr:col>0</xdr:col>
      <xdr:colOff>1884066</xdr:colOff>
      <xdr:row>2</xdr:row>
      <xdr:rowOff>39756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76B1E-D187-4D3B-AEC2-5497211A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428" y="1747682"/>
          <a:ext cx="352712" cy="418054"/>
        </a:xfrm>
        <a:prstGeom prst="rect">
          <a:avLst/>
        </a:prstGeom>
      </xdr:spPr>
    </xdr:pic>
    <xdr:clientData/>
  </xdr:twoCellAnchor>
  <xdr:twoCellAnchor editAs="oneCell">
    <xdr:from>
      <xdr:col>0</xdr:col>
      <xdr:colOff>1536217</xdr:colOff>
      <xdr:row>1</xdr:row>
      <xdr:rowOff>447309</xdr:rowOff>
    </xdr:from>
    <xdr:to>
      <xdr:col>0</xdr:col>
      <xdr:colOff>1868556</xdr:colOff>
      <xdr:row>3</xdr:row>
      <xdr:rowOff>60629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72B76C-EBEC-4D92-A608-D65FCA9E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6217" y="2123709"/>
          <a:ext cx="332339" cy="38294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1197052</xdr:colOff>
      <xdr:row>1</xdr:row>
      <xdr:rowOff>288819</xdr:rowOff>
    </xdr:from>
    <xdr:to>
      <xdr:col>1</xdr:col>
      <xdr:colOff>1559860</xdr:colOff>
      <xdr:row>3</xdr:row>
      <xdr:rowOff>53788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FFF18E7-B338-4909-A09C-42176E51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192" y="2109999"/>
          <a:ext cx="362808" cy="389809"/>
        </a:xfrm>
        <a:prstGeom prst="rect">
          <a:avLst/>
        </a:prstGeom>
      </xdr:spPr>
    </xdr:pic>
    <xdr:clientData/>
  </xdr:twoCellAnchor>
  <xdr:twoCellAnchor editAs="oneCell">
    <xdr:from>
      <xdr:col>1</xdr:col>
      <xdr:colOff>1020417</xdr:colOff>
      <xdr:row>3</xdr:row>
      <xdr:rowOff>20045</xdr:rowOff>
    </xdr:from>
    <xdr:to>
      <xdr:col>1</xdr:col>
      <xdr:colOff>1364974</xdr:colOff>
      <xdr:row>4</xdr:row>
      <xdr:rowOff>23427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56737-6522-4DAB-BE34-8E91AA4F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02557" y="2466065"/>
          <a:ext cx="344557" cy="331042"/>
        </a:xfrm>
        <a:prstGeom prst="rect">
          <a:avLst/>
        </a:prstGeom>
      </xdr:spPr>
    </xdr:pic>
    <xdr:clientData/>
  </xdr:twoCellAnchor>
  <xdr:twoCellAnchor editAs="oneCell">
    <xdr:from>
      <xdr:col>1</xdr:col>
      <xdr:colOff>653547</xdr:colOff>
      <xdr:row>4</xdr:row>
      <xdr:rowOff>6626</xdr:rowOff>
    </xdr:from>
    <xdr:to>
      <xdr:col>1</xdr:col>
      <xdr:colOff>954155</xdr:colOff>
      <xdr:row>4</xdr:row>
      <xdr:rowOff>335863</xdr:rowOff>
    </xdr:to>
    <xdr:pic>
      <xdr:nvPicPr>
        <xdr:cNvPr id="8" name="Рисунок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78CCF85-CF1C-49F5-8192-1C29087E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35687" y="2780306"/>
          <a:ext cx="300608" cy="32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1537251</xdr:colOff>
      <xdr:row>3</xdr:row>
      <xdr:rowOff>316395</xdr:rowOff>
    </xdr:from>
    <xdr:to>
      <xdr:col>0</xdr:col>
      <xdr:colOff>1842051</xdr:colOff>
      <xdr:row>4</xdr:row>
      <xdr:rowOff>343409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1288DE8-D477-4ED8-94C6-E51D6D7B8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37251" y="2762415"/>
          <a:ext cx="304800" cy="354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3</xdr:col>
      <xdr:colOff>0</xdr:colOff>
      <xdr:row>1</xdr:row>
      <xdr:rowOff>50242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5528FA-4846-4D6B-AC85-AEB113B6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"/>
          <a:ext cx="6020636" cy="1867318"/>
        </a:xfrm>
        <a:prstGeom prst="rect">
          <a:avLst/>
        </a:prstGeom>
      </xdr:spPr>
    </xdr:pic>
    <xdr:clientData/>
  </xdr:twoCellAnchor>
  <xdr:twoCellAnchor editAs="oneCell">
    <xdr:from>
      <xdr:col>0</xdr:col>
      <xdr:colOff>1541259</xdr:colOff>
      <xdr:row>2</xdr:row>
      <xdr:rowOff>458841</xdr:rowOff>
    </xdr:from>
    <xdr:to>
      <xdr:col>0</xdr:col>
      <xdr:colOff>1861931</xdr:colOff>
      <xdr:row>4</xdr:row>
      <xdr:rowOff>8614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D7D43F8-D694-4251-8797-2FBF9DD6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41259" y="2447661"/>
          <a:ext cx="320672" cy="33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10309</xdr:colOff>
      <xdr:row>31</xdr:row>
      <xdr:rowOff>16071</xdr:rowOff>
    </xdr:from>
    <xdr:to>
      <xdr:col>1</xdr:col>
      <xdr:colOff>3421380</xdr:colOff>
      <xdr:row>37</xdr:row>
      <xdr:rowOff>8964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BDC8FC5-780B-4CDC-877C-AA63401A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37721" y="7994659"/>
          <a:ext cx="3411071" cy="106865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38</xdr:row>
      <xdr:rowOff>30480</xdr:rowOff>
    </xdr:from>
    <xdr:to>
      <xdr:col>1</xdr:col>
      <xdr:colOff>3421380</xdr:colOff>
      <xdr:row>47</xdr:row>
      <xdr:rowOff>322729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85B1329-ED36-431D-A619-478FD18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27" y="9948203"/>
          <a:ext cx="3390899" cy="3562988"/>
        </a:xfrm>
        <a:prstGeom prst="rect">
          <a:avLst/>
        </a:prstGeom>
      </xdr:spPr>
    </xdr:pic>
    <xdr:clientData/>
  </xdr:twoCellAnchor>
  <xdr:twoCellAnchor editAs="oneCell">
    <xdr:from>
      <xdr:col>1</xdr:col>
      <xdr:colOff>17928</xdr:colOff>
      <xdr:row>17</xdr:row>
      <xdr:rowOff>14285</xdr:rowOff>
    </xdr:from>
    <xdr:to>
      <xdr:col>1</xdr:col>
      <xdr:colOff>3425861</xdr:colOff>
      <xdr:row>31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8DAE225-1A02-406C-96BE-BA4AD7C1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710" y="5833194"/>
          <a:ext cx="3407933" cy="2507242"/>
        </a:xfrm>
        <a:prstGeom prst="rect">
          <a:avLst/>
        </a:prstGeom>
      </xdr:spPr>
    </xdr:pic>
    <xdr:clientData/>
  </xdr:twoCellAnchor>
  <xdr:twoCellAnchor editAs="oneCell">
    <xdr:from>
      <xdr:col>1</xdr:col>
      <xdr:colOff>5862</xdr:colOff>
      <xdr:row>49</xdr:row>
      <xdr:rowOff>5863</xdr:rowOff>
    </xdr:from>
    <xdr:to>
      <xdr:col>2</xdr:col>
      <xdr:colOff>5861</xdr:colOff>
      <xdr:row>52</xdr:row>
      <xdr:rowOff>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8412EF-B671-4A8F-91C7-22C86ADB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34308" y="14184925"/>
          <a:ext cx="3428999" cy="1084384"/>
        </a:xfrm>
        <a:prstGeom prst="rect">
          <a:avLst/>
        </a:prstGeom>
      </xdr:spPr>
    </xdr:pic>
    <xdr:clientData/>
  </xdr:twoCellAnchor>
  <xdr:twoCellAnchor editAs="oneCell">
    <xdr:from>
      <xdr:col>0</xdr:col>
      <xdr:colOff>1922584</xdr:colOff>
      <xdr:row>53</xdr:row>
      <xdr:rowOff>5863</xdr:rowOff>
    </xdr:from>
    <xdr:to>
      <xdr:col>1</xdr:col>
      <xdr:colOff>3423139</xdr:colOff>
      <xdr:row>56</xdr:row>
      <xdr:rowOff>17586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E8D10FE-5FC0-41E0-B293-0AD60DEF7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22584" y="15902355"/>
          <a:ext cx="3429001" cy="124850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1</xdr:rowOff>
    </xdr:from>
    <xdr:to>
      <xdr:col>2</xdr:col>
      <xdr:colOff>5862</xdr:colOff>
      <xdr:row>60</xdr:row>
      <xdr:rowOff>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F911E1C-F1DA-4FBB-B30A-0CEC3B32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28447" y="17438078"/>
          <a:ext cx="3434861" cy="10902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</xdr:row>
      <xdr:rowOff>15240</xdr:rowOff>
    </xdr:from>
    <xdr:to>
      <xdr:col>2</xdr:col>
      <xdr:colOff>7620</xdr:colOff>
      <xdr:row>8</xdr:row>
      <xdr:rowOff>27110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4343C0C-EFF5-4588-930A-2754D7FE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5509260"/>
          <a:ext cx="3429000" cy="171113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0</xdr:row>
      <xdr:rowOff>44014</xdr:rowOff>
    </xdr:from>
    <xdr:to>
      <xdr:col>2</xdr:col>
      <xdr:colOff>410997</xdr:colOff>
      <xdr:row>1</xdr:row>
      <xdr:rowOff>0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E53EFE-7E98-4C96-B644-8FC48F891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40216" y="44014"/>
          <a:ext cx="352381" cy="420806"/>
        </a:xfrm>
        <a:prstGeom prst="rect">
          <a:avLst/>
        </a:prstGeom>
      </xdr:spPr>
    </xdr:pic>
    <xdr:clientData/>
  </xdr:twoCellAnchor>
  <xdr:twoCellAnchor editAs="oneCell">
    <xdr:from>
      <xdr:col>2</xdr:col>
      <xdr:colOff>194791</xdr:colOff>
      <xdr:row>1</xdr:row>
      <xdr:rowOff>83868</xdr:rowOff>
    </xdr:from>
    <xdr:to>
      <xdr:col>3</xdr:col>
      <xdr:colOff>0</xdr:colOff>
      <xdr:row>2</xdr:row>
      <xdr:rowOff>0</xdr:rowOff>
    </xdr:to>
    <xdr:pic>
      <xdr:nvPicPr>
        <xdr:cNvPr id="6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A51522-6481-4CD3-8A28-7C365A5F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76391" y="548688"/>
          <a:ext cx="330989" cy="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110540</xdr:colOff>
      <xdr:row>1</xdr:row>
      <xdr:rowOff>36249</xdr:rowOff>
    </xdr:from>
    <xdr:to>
      <xdr:col>6</xdr:col>
      <xdr:colOff>0</xdr:colOff>
      <xdr:row>2</xdr:row>
      <xdr:rowOff>0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481BBE-439D-461B-A095-A89B5388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31380" y="501069"/>
          <a:ext cx="400000" cy="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</xdr:row>
      <xdr:rowOff>47625</xdr:rowOff>
    </xdr:from>
    <xdr:to>
      <xdr:col>3</xdr:col>
      <xdr:colOff>32421</xdr:colOff>
      <xdr:row>3</xdr:row>
      <xdr:rowOff>20955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9427646-BEDD-4605-93F9-35D93E30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76851" y="977265"/>
          <a:ext cx="4629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</xdr:colOff>
      <xdr:row>3</xdr:row>
      <xdr:rowOff>38100</xdr:rowOff>
    </xdr:from>
    <xdr:to>
      <xdr:col>2</xdr:col>
      <xdr:colOff>525730</xdr:colOff>
      <xdr:row>3</xdr:row>
      <xdr:rowOff>476195</xdr:rowOff>
    </xdr:to>
    <xdr:pic>
      <xdr:nvPicPr>
        <xdr:cNvPr id="9" name="Рисунок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C63732-FB39-4933-A183-A4FB6025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07330" y="1432560"/>
          <a:ext cx="400000" cy="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93391</xdr:colOff>
      <xdr:row>3</xdr:row>
      <xdr:rowOff>21009</xdr:rowOff>
    </xdr:from>
    <xdr:to>
      <xdr:col>4</xdr:col>
      <xdr:colOff>464820</xdr:colOff>
      <xdr:row>3</xdr:row>
      <xdr:rowOff>449580</xdr:rowOff>
    </xdr:to>
    <xdr:pic>
      <xdr:nvPicPr>
        <xdr:cNvPr id="10" name="Рисунок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64BDD9-603D-4B60-BD9D-4E66AF3D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11311" y="1415469"/>
          <a:ext cx="371429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3400999</xdr:colOff>
      <xdr:row>3</xdr:row>
      <xdr:rowOff>525780</xdr:rowOff>
    </xdr:to>
    <xdr:pic>
      <xdr:nvPicPr>
        <xdr:cNvPr id="11" name="Рисунок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AB3798C-7DA7-403C-BC3D-5E513FA9B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" y="0"/>
          <a:ext cx="5145979" cy="19202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447235</xdr:colOff>
      <xdr:row>2</xdr:row>
      <xdr:rowOff>452660</xdr:rowOff>
    </xdr:to>
    <xdr:pic>
      <xdr:nvPicPr>
        <xdr:cNvPr id="12" name="Рисунок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5A9151-0883-402F-A6AF-669A6C92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20840" y="929640"/>
          <a:ext cx="447235" cy="452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9</xdr:row>
      <xdr:rowOff>181621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05B1AB8-5FDF-4AC0-9765-9D3AE0EA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693920"/>
          <a:ext cx="3429000" cy="18504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7621</xdr:rowOff>
    </xdr:from>
    <xdr:to>
      <xdr:col>2</xdr:col>
      <xdr:colOff>0</xdr:colOff>
      <xdr:row>12</xdr:row>
      <xdr:rowOff>453367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3D19A18-5244-44B5-9075-7F2E4A6F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477001"/>
          <a:ext cx="3429000" cy="21145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</xdr:row>
      <xdr:rowOff>15240</xdr:rowOff>
    </xdr:from>
    <xdr:to>
      <xdr:col>2</xdr:col>
      <xdr:colOff>7620</xdr:colOff>
      <xdr:row>15</xdr:row>
      <xdr:rowOff>4250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E9DF5DF-1911-4817-B280-BABFE60B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8069580"/>
          <a:ext cx="3429000" cy="171113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0</xdr:row>
      <xdr:rowOff>44014</xdr:rowOff>
    </xdr:from>
    <xdr:to>
      <xdr:col>2</xdr:col>
      <xdr:colOff>410997</xdr:colOff>
      <xdr:row>0</xdr:row>
      <xdr:rowOff>464820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6A95B3-2100-4683-BCAE-4C1C1E8A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40216" y="2474794"/>
          <a:ext cx="352381" cy="420806"/>
        </a:xfrm>
        <a:prstGeom prst="rect">
          <a:avLst/>
        </a:prstGeom>
      </xdr:spPr>
    </xdr:pic>
    <xdr:clientData/>
  </xdr:twoCellAnchor>
  <xdr:twoCellAnchor editAs="oneCell">
    <xdr:from>
      <xdr:col>2</xdr:col>
      <xdr:colOff>194791</xdr:colOff>
      <xdr:row>1</xdr:row>
      <xdr:rowOff>83868</xdr:rowOff>
    </xdr:from>
    <xdr:to>
      <xdr:col>3</xdr:col>
      <xdr:colOff>0</xdr:colOff>
      <xdr:row>1</xdr:row>
      <xdr:rowOff>464820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D52257-E46D-4188-8CFD-B5245FC0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6391" y="2979468"/>
          <a:ext cx="330989" cy="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110540</xdr:colOff>
      <xdr:row>1</xdr:row>
      <xdr:rowOff>36249</xdr:rowOff>
    </xdr:from>
    <xdr:to>
      <xdr:col>6</xdr:col>
      <xdr:colOff>0</xdr:colOff>
      <xdr:row>1</xdr:row>
      <xdr:rowOff>464820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04E8357-47E9-4F83-AE2E-853D494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1380" y="2931849"/>
          <a:ext cx="400000" cy="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</xdr:row>
      <xdr:rowOff>47625</xdr:rowOff>
    </xdr:from>
    <xdr:to>
      <xdr:col>3</xdr:col>
      <xdr:colOff>32421</xdr:colOff>
      <xdr:row>2</xdr:row>
      <xdr:rowOff>485775</xdr:rowOff>
    </xdr:to>
    <xdr:pic>
      <xdr:nvPicPr>
        <xdr:cNvPr id="8" name="Рисунок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F4FCB4B-F167-4D57-98FD-C87FE95B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76851" y="3408045"/>
          <a:ext cx="4629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</xdr:colOff>
      <xdr:row>3</xdr:row>
      <xdr:rowOff>38100</xdr:rowOff>
    </xdr:from>
    <xdr:to>
      <xdr:col>2</xdr:col>
      <xdr:colOff>525730</xdr:colOff>
      <xdr:row>3</xdr:row>
      <xdr:rowOff>476195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F4E1537-3154-44F1-BFBC-C16FC785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07330" y="3863340"/>
          <a:ext cx="400000" cy="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93391</xdr:colOff>
      <xdr:row>3</xdr:row>
      <xdr:rowOff>21009</xdr:rowOff>
    </xdr:from>
    <xdr:to>
      <xdr:col>4</xdr:col>
      <xdr:colOff>464820</xdr:colOff>
      <xdr:row>3</xdr:row>
      <xdr:rowOff>449580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2B16922-0793-4C99-AD64-8B99EC20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11311" y="3846249"/>
          <a:ext cx="371429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21127</xdr:colOff>
      <xdr:row>4</xdr:row>
      <xdr:rowOff>15240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8D6F37D-2CAB-407E-B808-84A1F331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" y="0"/>
          <a:ext cx="5202726" cy="20878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447235</xdr:colOff>
      <xdr:row>2</xdr:row>
      <xdr:rowOff>452660</xdr:rowOff>
    </xdr:to>
    <xdr:pic>
      <xdr:nvPicPr>
        <xdr:cNvPr id="12" name="Рисунок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A328020-BB3D-42C7-A950-F0C9B1FD5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20840" y="3360420"/>
          <a:ext cx="447235" cy="452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1529428</xdr:colOff>
      <xdr:row>0</xdr:row>
      <xdr:rowOff>1747682</xdr:rowOff>
    </xdr:from>
    <xdr:to>
      <xdr:col>0</xdr:col>
      <xdr:colOff>1882588</xdr:colOff>
      <xdr:row>2</xdr:row>
      <xdr:rowOff>39756</xdr:rowOff>
    </xdr:to>
    <xdr:pic>
      <xdr:nvPicPr>
        <xdr:cNvPr id="12" name="Рисунок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428" y="1747682"/>
          <a:ext cx="352381" cy="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1536217</xdr:colOff>
      <xdr:row>1</xdr:row>
      <xdr:rowOff>447309</xdr:rowOff>
    </xdr:from>
    <xdr:to>
      <xdr:col>0</xdr:col>
      <xdr:colOff>1868556</xdr:colOff>
      <xdr:row>3</xdr:row>
      <xdr:rowOff>60629</xdr:rowOff>
    </xdr:to>
    <xdr:pic>
      <xdr:nvPicPr>
        <xdr:cNvPr id="13" name="Рисунок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6217" y="2269483"/>
          <a:ext cx="332339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1197052</xdr:colOff>
      <xdr:row>1</xdr:row>
      <xdr:rowOff>288819</xdr:rowOff>
    </xdr:from>
    <xdr:to>
      <xdr:col>1</xdr:col>
      <xdr:colOff>1559860</xdr:colOff>
      <xdr:row>3</xdr:row>
      <xdr:rowOff>53788</xdr:rowOff>
    </xdr:to>
    <xdr:pic>
      <xdr:nvPicPr>
        <xdr:cNvPr id="14" name="Рисунок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9640" y="2108654"/>
          <a:ext cx="362808" cy="392499"/>
        </a:xfrm>
        <a:prstGeom prst="rect">
          <a:avLst/>
        </a:prstGeom>
      </xdr:spPr>
    </xdr:pic>
    <xdr:clientData/>
  </xdr:twoCellAnchor>
  <xdr:twoCellAnchor editAs="oneCell">
    <xdr:from>
      <xdr:col>1</xdr:col>
      <xdr:colOff>1020417</xdr:colOff>
      <xdr:row>3</xdr:row>
      <xdr:rowOff>20045</xdr:rowOff>
    </xdr:from>
    <xdr:to>
      <xdr:col>1</xdr:col>
      <xdr:colOff>1364974</xdr:colOff>
      <xdr:row>4</xdr:row>
      <xdr:rowOff>23427</xdr:rowOff>
    </xdr:to>
    <xdr:pic>
      <xdr:nvPicPr>
        <xdr:cNvPr id="15" name="Рисунок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02226" y="2531332"/>
          <a:ext cx="344557" cy="328060"/>
        </a:xfrm>
        <a:prstGeom prst="rect">
          <a:avLst/>
        </a:prstGeom>
      </xdr:spPr>
    </xdr:pic>
    <xdr:clientData/>
  </xdr:twoCellAnchor>
  <xdr:twoCellAnchor editAs="oneCell">
    <xdr:from>
      <xdr:col>1</xdr:col>
      <xdr:colOff>653547</xdr:colOff>
      <xdr:row>4</xdr:row>
      <xdr:rowOff>6626</xdr:rowOff>
    </xdr:from>
    <xdr:to>
      <xdr:col>1</xdr:col>
      <xdr:colOff>954155</xdr:colOff>
      <xdr:row>4</xdr:row>
      <xdr:rowOff>335863</xdr:rowOff>
    </xdr:to>
    <xdr:pic>
      <xdr:nvPicPr>
        <xdr:cNvPr id="19" name="Рисунок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35356" y="2981739"/>
          <a:ext cx="300608" cy="32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1537251</xdr:colOff>
      <xdr:row>3</xdr:row>
      <xdr:rowOff>316395</xdr:rowOff>
    </xdr:from>
    <xdr:to>
      <xdr:col>0</xdr:col>
      <xdr:colOff>1842051</xdr:colOff>
      <xdr:row>4</xdr:row>
      <xdr:rowOff>343409</xdr:rowOff>
    </xdr:to>
    <xdr:pic>
      <xdr:nvPicPr>
        <xdr:cNvPr id="20" name="Рисунок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37251" y="2761421"/>
          <a:ext cx="304800" cy="3516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730819</xdr:colOff>
      <xdr:row>1</xdr:row>
      <xdr:rowOff>6627</xdr:rowOff>
    </xdr:to>
    <xdr:pic>
      <xdr:nvPicPr>
        <xdr:cNvPr id="30" name="Рисунок 2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A7D502B-822F-43A0-A0F5-36F7ACAB8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" y="1"/>
          <a:ext cx="5910469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1541259</xdr:colOff>
      <xdr:row>2</xdr:row>
      <xdr:rowOff>458841</xdr:rowOff>
    </xdr:from>
    <xdr:to>
      <xdr:col>0</xdr:col>
      <xdr:colOff>1861931</xdr:colOff>
      <xdr:row>4</xdr:row>
      <xdr:rowOff>8614</xdr:rowOff>
    </xdr:to>
    <xdr:pic>
      <xdr:nvPicPr>
        <xdr:cNvPr id="10" name="Рисунок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FC7ED2B-E179-4ECE-A35C-3BD8A77BB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1259" y="2751467"/>
          <a:ext cx="320672" cy="3296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9</xdr:row>
      <xdr:rowOff>265441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CC6A3ED-EF60-4EB7-AB3B-BDAB1FBA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693920"/>
          <a:ext cx="3429000" cy="18504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7621</xdr:rowOff>
    </xdr:from>
    <xdr:to>
      <xdr:col>2</xdr:col>
      <xdr:colOff>0</xdr:colOff>
      <xdr:row>12</xdr:row>
      <xdr:rowOff>712447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4AA0EBD-70CF-4F88-809B-01583679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477001"/>
          <a:ext cx="3429000" cy="21145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</xdr:row>
      <xdr:rowOff>15240</xdr:rowOff>
    </xdr:from>
    <xdr:to>
      <xdr:col>2</xdr:col>
      <xdr:colOff>7620</xdr:colOff>
      <xdr:row>14</xdr:row>
      <xdr:rowOff>545270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3A5CA19-C638-4C5E-9061-5943216E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8252460"/>
          <a:ext cx="3429000" cy="171113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0</xdr:row>
      <xdr:rowOff>44014</xdr:rowOff>
    </xdr:from>
    <xdr:to>
      <xdr:col>2</xdr:col>
      <xdr:colOff>410997</xdr:colOff>
      <xdr:row>1</xdr:row>
      <xdr:rowOff>0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1DA239-C8D7-41DF-B396-1360ACDF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40216" y="2474794"/>
          <a:ext cx="352381" cy="420806"/>
        </a:xfrm>
        <a:prstGeom prst="rect">
          <a:avLst/>
        </a:prstGeom>
      </xdr:spPr>
    </xdr:pic>
    <xdr:clientData/>
  </xdr:twoCellAnchor>
  <xdr:twoCellAnchor editAs="oneCell">
    <xdr:from>
      <xdr:col>2</xdr:col>
      <xdr:colOff>194791</xdr:colOff>
      <xdr:row>1</xdr:row>
      <xdr:rowOff>83868</xdr:rowOff>
    </xdr:from>
    <xdr:to>
      <xdr:col>3</xdr:col>
      <xdr:colOff>0</xdr:colOff>
      <xdr:row>2</xdr:row>
      <xdr:rowOff>0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F21767-3D62-44E2-907D-90CE7E88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6391" y="2979468"/>
          <a:ext cx="330989" cy="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110540</xdr:colOff>
      <xdr:row>1</xdr:row>
      <xdr:rowOff>36249</xdr:rowOff>
    </xdr:from>
    <xdr:to>
      <xdr:col>6</xdr:col>
      <xdr:colOff>0</xdr:colOff>
      <xdr:row>2</xdr:row>
      <xdr:rowOff>0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00C507A-E2BB-4469-A76F-18A25D1D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1380" y="2931849"/>
          <a:ext cx="400000" cy="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</xdr:row>
      <xdr:rowOff>47625</xdr:rowOff>
    </xdr:from>
    <xdr:to>
      <xdr:col>3</xdr:col>
      <xdr:colOff>32421</xdr:colOff>
      <xdr:row>3</xdr:row>
      <xdr:rowOff>20955</xdr:rowOff>
    </xdr:to>
    <xdr:pic>
      <xdr:nvPicPr>
        <xdr:cNvPr id="8" name="Рисунок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7E011FF-7744-4FFA-B7A2-6289DA83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76851" y="3408045"/>
          <a:ext cx="4629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</xdr:colOff>
      <xdr:row>3</xdr:row>
      <xdr:rowOff>38100</xdr:rowOff>
    </xdr:from>
    <xdr:to>
      <xdr:col>2</xdr:col>
      <xdr:colOff>525730</xdr:colOff>
      <xdr:row>3</xdr:row>
      <xdr:rowOff>476195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56ECD01-0BB9-4D41-A30A-46B6C6E6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07330" y="3863340"/>
          <a:ext cx="400000" cy="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93391</xdr:colOff>
      <xdr:row>3</xdr:row>
      <xdr:rowOff>21009</xdr:rowOff>
    </xdr:from>
    <xdr:to>
      <xdr:col>4</xdr:col>
      <xdr:colOff>464820</xdr:colOff>
      <xdr:row>3</xdr:row>
      <xdr:rowOff>449580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58C6C9-5B0D-4CB3-9275-DC00AA840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11311" y="3846249"/>
          <a:ext cx="371429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3400999</xdr:colOff>
      <xdr:row>3</xdr:row>
      <xdr:rowOff>525780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BCADC35-6105-4920-AD11-DBD00661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0" y="2453640"/>
          <a:ext cx="5145979" cy="19202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447235</xdr:colOff>
      <xdr:row>2</xdr:row>
      <xdr:rowOff>452660</xdr:rowOff>
    </xdr:to>
    <xdr:pic>
      <xdr:nvPicPr>
        <xdr:cNvPr id="12" name="Рисунок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22F83F4-25A2-41AD-A6AC-8C295F73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20840" y="3360420"/>
          <a:ext cx="447235" cy="452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stolipol/" TargetMode="External" /><Relationship Id="rId7" Type="http://schemas.openxmlformats.org/officeDocument/2006/relationships/drawing" Target="../drawings/drawing5.xml" /><Relationship Id="rId2" Type="http://schemas.openxmlformats.org/officeDocument/2006/relationships/hyperlink" Target="https://www.facebook.com/StoliPol/" TargetMode="External" /><Relationship Id="rId1" Type="http://schemas.openxmlformats.org/officeDocument/2006/relationships/hyperlink" Target="https://www.youtube.com/channel/UCBDVAismhg0vNtlFoC2K-TA" TargetMode="External" /><Relationship Id="rId6" Type="http://schemas.openxmlformats.org/officeDocument/2006/relationships/hyperlink" Target="https://yandex.ru/maps/-/CGws4Zi9" TargetMode="External" /><Relationship Id="rId5" Type="http://schemas.openxmlformats.org/officeDocument/2006/relationships/hyperlink" Target="https://api.whatsapp.com/send?phone=375255000009" TargetMode="External" /><Relationship Id="rId4" Type="http://schemas.openxmlformats.org/officeDocument/2006/relationships/hyperlink" Target="mailto:info@StoliPol.ru" TargetMode="External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4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5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1FA23-FD17-4019-B493-815E84FE4D52}">
  <sheetPr>
    <tabColor rgb="FFFF0000"/>
    <pageSetUpPr fitToPage="1"/>
  </sheetPr>
  <dimension ref="A1:D107"/>
  <sheetViews>
    <sheetView topLeftCell="A63" zoomScale="130" zoomScaleNormal="130" workbookViewId="0">
      <selection activeCell="C79" sqref="C79"/>
    </sheetView>
  </sheetViews>
  <sheetFormatPr defaultRowHeight="15" x14ac:dyDescent="0.2"/>
  <cols>
    <col min="1" max="1" width="27.44140625" customWidth="1"/>
    <col min="2" max="2" width="40.625" customWidth="1"/>
    <col min="3" max="3" width="9.01171875" customWidth="1"/>
    <col min="4" max="4" width="8.47265625" customWidth="1"/>
  </cols>
  <sheetData>
    <row r="1" spans="1:4" s="1" customFormat="1" ht="143.44999999999999" customHeight="1" thickBot="1" x14ac:dyDescent="0.25">
      <c r="A1" s="2"/>
      <c r="B1" s="3"/>
      <c r="C1" s="4"/>
      <c r="D1" s="3"/>
    </row>
    <row r="2" spans="1:4" s="1" customFormat="1" ht="24" customHeight="1" x14ac:dyDescent="0.2">
      <c r="A2" s="154"/>
      <c r="B2" s="24" t="s">
        <v>2</v>
      </c>
      <c r="C2" s="23"/>
      <c r="D2" s="6"/>
    </row>
    <row r="3" spans="1:4" s="1" customFormat="1" ht="25.15" customHeight="1" x14ac:dyDescent="0.2">
      <c r="A3" s="155"/>
      <c r="B3" s="64" t="s">
        <v>30</v>
      </c>
      <c r="C3" s="21"/>
    </row>
    <row r="4" spans="1:4" s="1" customFormat="1" ht="25.9" customHeight="1" x14ac:dyDescent="0.2">
      <c r="A4" s="25" t="s">
        <v>1</v>
      </c>
      <c r="B4" s="26" t="s">
        <v>3</v>
      </c>
      <c r="C4" s="5"/>
    </row>
    <row r="5" spans="1:4" s="1" customFormat="1" ht="27.6" customHeight="1" thickBot="1" x14ac:dyDescent="0.25">
      <c r="A5" s="25" t="s">
        <v>0</v>
      </c>
      <c r="B5" s="27" t="s">
        <v>4</v>
      </c>
      <c r="C5" s="22"/>
    </row>
    <row r="6" spans="1:4" ht="25.15" customHeight="1" thickBot="1" x14ac:dyDescent="0.25">
      <c r="A6" s="152" t="s">
        <v>94</v>
      </c>
      <c r="B6" s="153"/>
      <c r="C6" s="83" t="s">
        <v>7</v>
      </c>
    </row>
    <row r="7" spans="1:4" s="79" customFormat="1" ht="15.75" thickBot="1" x14ac:dyDescent="0.25">
      <c r="A7" s="84" t="s">
        <v>96</v>
      </c>
      <c r="B7" s="85"/>
      <c r="C7" s="86">
        <f>0.04*0.3*0.9*'Мебельный щит'!$C$14+0.9*50+0.3*2*50</f>
        <v>1975.8000000000002</v>
      </c>
    </row>
    <row r="8" spans="1:4" ht="15.75" thickBot="1" x14ac:dyDescent="0.25">
      <c r="A8" s="84" t="s">
        <v>97</v>
      </c>
      <c r="B8" s="80"/>
      <c r="C8" s="86">
        <f>0.04*0.3*1*'Мебельный щит'!$C$14+0.9*50+0.3*2*50</f>
        <v>2187</v>
      </c>
    </row>
    <row r="9" spans="1:4" ht="15.75" thickBot="1" x14ac:dyDescent="0.25">
      <c r="A9" s="84" t="s">
        <v>98</v>
      </c>
      <c r="B9" s="80"/>
      <c r="C9" s="86">
        <f>0.04*0.3*1.1*'Мебельный щит'!$C$14+0.9*50+0.3*2*50</f>
        <v>2398.2000000000003</v>
      </c>
    </row>
    <row r="10" spans="1:4" ht="15.75" thickBot="1" x14ac:dyDescent="0.25">
      <c r="A10" s="84" t="s">
        <v>102</v>
      </c>
      <c r="B10" s="12"/>
      <c r="C10" s="86">
        <f>0.04*0.3*1.2*'Мебельный щит'!$C$14+0.9*50+0.3*2*50</f>
        <v>2609.4</v>
      </c>
    </row>
    <row r="11" spans="1:4" ht="15.75" thickBot="1" x14ac:dyDescent="0.25">
      <c r="A11" s="84" t="s">
        <v>100</v>
      </c>
      <c r="B11" s="12"/>
      <c r="C11" s="86">
        <f>0.04*0.3*1.3*'Мебельный щит'!$C$14+0.9*50+0.3*2*50</f>
        <v>2820.6000000000004</v>
      </c>
    </row>
    <row r="12" spans="1:4" ht="15.75" thickBot="1" x14ac:dyDescent="0.25">
      <c r="A12" s="84" t="s">
        <v>99</v>
      </c>
      <c r="B12" s="12"/>
      <c r="C12" s="86">
        <f>0.04*0.3*1.4*'Мебельный щит'!$C$14+0.9*50+0.3*2*50</f>
        <v>3031.7999999999997</v>
      </c>
    </row>
    <row r="13" spans="1:4" s="79" customFormat="1" x14ac:dyDescent="0.2">
      <c r="A13" s="84" t="s">
        <v>101</v>
      </c>
      <c r="B13" s="82"/>
      <c r="C13" s="86">
        <f>0.04*0.3*1.5*'Мебельный щит'!$C$14+0.9*50+0.3*2*50</f>
        <v>3243.0000000000005</v>
      </c>
    </row>
    <row r="14" spans="1:4" ht="25.15" customHeight="1" thickBot="1" x14ac:dyDescent="0.25">
      <c r="A14" s="152" t="s">
        <v>95</v>
      </c>
      <c r="B14" s="153"/>
      <c r="C14" s="83" t="s">
        <v>60</v>
      </c>
    </row>
    <row r="15" spans="1:4" s="79" customFormat="1" ht="15.75" thickBot="1" x14ac:dyDescent="0.25">
      <c r="A15" s="95" t="s">
        <v>96</v>
      </c>
      <c r="B15" s="98"/>
      <c r="C15" s="96">
        <f>0.04*0.3*0.9*'Мебельный щит'!$C$14+0.9*50+0.3*2*50+0.3*0.9*1600</f>
        <v>2407.8000000000002</v>
      </c>
    </row>
    <row r="16" spans="1:4" ht="15.75" thickBot="1" x14ac:dyDescent="0.25">
      <c r="A16" s="95" t="s">
        <v>97</v>
      </c>
      <c r="B16" s="99"/>
      <c r="C16" s="96">
        <f>0.04*0.3*1*'Мебельный щит'!$C$14+0.9*50+0.3*2*50+0.3*1*1600</f>
        <v>2667</v>
      </c>
    </row>
    <row r="17" spans="1:3" ht="15.75" thickBot="1" x14ac:dyDescent="0.25">
      <c r="A17" s="95" t="s">
        <v>98</v>
      </c>
      <c r="B17" s="99"/>
      <c r="C17" s="96">
        <f>0.04*0.3*1.1*'Мебельный щит'!$C$14+0.9*50+0.3*2*50+0.3*1.1*1600</f>
        <v>2926.2000000000003</v>
      </c>
    </row>
    <row r="18" spans="1:3" ht="15.75" thickBot="1" x14ac:dyDescent="0.25">
      <c r="A18" s="95" t="s">
        <v>102</v>
      </c>
      <c r="B18" s="99"/>
      <c r="C18" s="96">
        <f>0.04*0.3*1.2*'Мебельный щит'!$C$14+0.9*50+0.3*2*50+0.3*1.2*1600</f>
        <v>3185.4</v>
      </c>
    </row>
    <row r="19" spans="1:3" ht="15.75" thickBot="1" x14ac:dyDescent="0.25">
      <c r="A19" s="95" t="s">
        <v>100</v>
      </c>
      <c r="B19" s="99"/>
      <c r="C19" s="96">
        <f>0.04*0.3*1.3*'Мебельный щит'!$C$14+0.9*50+0.3*2*50+0.3*1.3*1600</f>
        <v>3444.6000000000004</v>
      </c>
    </row>
    <row r="20" spans="1:3" ht="15.75" thickBot="1" x14ac:dyDescent="0.25">
      <c r="A20" s="95" t="s">
        <v>99</v>
      </c>
      <c r="B20" s="99"/>
      <c r="C20" s="96">
        <f>0.04*0.3*1.4*'Мебельный щит'!$C$14+0.9*50+0.3*2*50+0.3*1.4*1600</f>
        <v>3703.7999999999997</v>
      </c>
    </row>
    <row r="21" spans="1:3" s="79" customFormat="1" x14ac:dyDescent="0.2">
      <c r="A21" s="95" t="s">
        <v>101</v>
      </c>
      <c r="B21" s="100"/>
      <c r="C21" s="96">
        <f>0.04*0.3*1.5*'Мебельный щит'!$C$14+0.9*50+0.3*2*50+0.3*1.5*1600</f>
        <v>3963.0000000000005</v>
      </c>
    </row>
    <row r="22" spans="1:3" ht="25.15" customHeight="1" thickBot="1" x14ac:dyDescent="0.25">
      <c r="A22" s="152" t="s">
        <v>103</v>
      </c>
      <c r="B22" s="153"/>
      <c r="C22" s="83" t="s">
        <v>7</v>
      </c>
    </row>
    <row r="23" spans="1:3" s="79" customFormat="1" ht="15.75" thickBot="1" x14ac:dyDescent="0.25">
      <c r="A23" s="84" t="s">
        <v>96</v>
      </c>
      <c r="B23" s="85"/>
      <c r="C23" s="86">
        <f>0.04*0.3*0.9*'Мебельный щит'!$C$16+0.9*50+0.3*2*50</f>
        <v>1219.8</v>
      </c>
    </row>
    <row r="24" spans="1:3" ht="15.75" thickBot="1" x14ac:dyDescent="0.25">
      <c r="A24" s="84" t="s">
        <v>97</v>
      </c>
      <c r="B24" s="80"/>
      <c r="C24" s="86">
        <f>0.04*0.3*1*'Мебельный щит'!$C$16+0.9*50+0.3*2*50</f>
        <v>1347</v>
      </c>
    </row>
    <row r="25" spans="1:3" ht="15.75" thickBot="1" x14ac:dyDescent="0.25">
      <c r="A25" s="84" t="s">
        <v>98</v>
      </c>
      <c r="B25" s="80"/>
      <c r="C25" s="86">
        <f>0.04*0.3*1.1*'Мебельный щит'!$C$16+0.9*50+0.3*2*50</f>
        <v>1474.2000000000003</v>
      </c>
    </row>
    <row r="26" spans="1:3" ht="15.75" thickBot="1" x14ac:dyDescent="0.25">
      <c r="A26" s="84" t="s">
        <v>102</v>
      </c>
      <c r="B26" s="12"/>
      <c r="C26" s="86">
        <f>0.04*0.3*1.2*'Мебельный щит'!$C$16+0.9*50+0.3*2*50</f>
        <v>1601.3999999999999</v>
      </c>
    </row>
    <row r="27" spans="1:3" ht="15.75" thickBot="1" x14ac:dyDescent="0.25">
      <c r="A27" s="84" t="s">
        <v>100</v>
      </c>
      <c r="B27" s="12"/>
      <c r="C27" s="86">
        <f>0.04*0.3*1.3*'Мебельный щит'!$C$16+0.9*50+0.3*2*50</f>
        <v>1728.6000000000001</v>
      </c>
    </row>
    <row r="28" spans="1:3" ht="15.75" thickBot="1" x14ac:dyDescent="0.25">
      <c r="A28" s="84" t="s">
        <v>99</v>
      </c>
      <c r="B28" s="12"/>
      <c r="C28" s="86">
        <f>0.04*0.3*1.4*'Мебельный щит'!$C$16+0.9*50+0.3*2*50</f>
        <v>1855.8</v>
      </c>
    </row>
    <row r="29" spans="1:3" s="79" customFormat="1" x14ac:dyDescent="0.2">
      <c r="A29" s="84" t="s">
        <v>101</v>
      </c>
      <c r="B29" s="82"/>
      <c r="C29" s="86">
        <f>0.04*0.3*1.5*'Мебельный щит'!$C$16+0.9*50+0.3*2*50</f>
        <v>1983.0000000000002</v>
      </c>
    </row>
    <row r="30" spans="1:3" ht="25.15" customHeight="1" thickBot="1" x14ac:dyDescent="0.25">
      <c r="A30" s="152" t="s">
        <v>104</v>
      </c>
      <c r="B30" s="153"/>
      <c r="C30" s="83" t="s">
        <v>60</v>
      </c>
    </row>
    <row r="31" spans="1:3" s="79" customFormat="1" ht="15.75" thickBot="1" x14ac:dyDescent="0.25">
      <c r="A31" s="95" t="s">
        <v>96</v>
      </c>
      <c r="B31" s="98"/>
      <c r="C31" s="96">
        <f>0.04*0.3*0.9*'Мебельный щит'!$C$16+0.9*50+0.3*2*50+0.3*0.9*1600</f>
        <v>1651.8</v>
      </c>
    </row>
    <row r="32" spans="1:3" ht="15.75" thickBot="1" x14ac:dyDescent="0.25">
      <c r="A32" s="95" t="s">
        <v>97</v>
      </c>
      <c r="B32" s="99"/>
      <c r="C32" s="96">
        <f>0.04*0.3*1*'Мебельный щит'!$C$16+0.9*50+0.3*2*50+0.3*1*1600</f>
        <v>1827</v>
      </c>
    </row>
    <row r="33" spans="1:4" ht="15.75" thickBot="1" x14ac:dyDescent="0.25">
      <c r="A33" s="95" t="s">
        <v>98</v>
      </c>
      <c r="B33" s="99"/>
      <c r="C33" s="96">
        <f>0.04*0.3*1.1*'Мебельный щит'!$C$16+0.9*50+0.3*2*50+0.3*1.1*1600</f>
        <v>2002.2000000000003</v>
      </c>
    </row>
    <row r="34" spans="1:4" ht="15.75" thickBot="1" x14ac:dyDescent="0.25">
      <c r="A34" s="95" t="s">
        <v>102</v>
      </c>
      <c r="B34" s="99"/>
      <c r="C34" s="96">
        <f>0.04*0.3*1.2*'Мебельный щит'!$C$16+0.9*50+0.3*2*50+0.3*1.2*1600</f>
        <v>2177.3999999999996</v>
      </c>
    </row>
    <row r="35" spans="1:4" ht="15.75" thickBot="1" x14ac:dyDescent="0.25">
      <c r="A35" s="95" t="s">
        <v>100</v>
      </c>
      <c r="B35" s="99"/>
      <c r="C35" s="96">
        <f>0.04*0.3*1.3*'Мебельный щит'!$C$16+0.9*50+0.3*2*50+0.3*1.3*1600</f>
        <v>2352.6000000000004</v>
      </c>
    </row>
    <row r="36" spans="1:4" ht="15.75" thickBot="1" x14ac:dyDescent="0.25">
      <c r="A36" s="95" t="s">
        <v>99</v>
      </c>
      <c r="B36" s="99"/>
      <c r="C36" s="96">
        <f>0.04*0.3*1.4*'Мебельный щит'!$C$16+0.9*50+0.3*2*50+0.3*1.4*1600</f>
        <v>2527.8000000000002</v>
      </c>
    </row>
    <row r="37" spans="1:4" s="79" customFormat="1" ht="15.75" thickBot="1" x14ac:dyDescent="0.25">
      <c r="A37" s="107" t="s">
        <v>101</v>
      </c>
      <c r="B37" s="108"/>
      <c r="C37" s="109">
        <f>0.04*0.3*1.5*'Мебельный щит'!$C$16+0.9*50+0.3*2*50+0.3*1.5*1600</f>
        <v>2703</v>
      </c>
    </row>
    <row r="38" spans="1:4" ht="25.15" customHeight="1" thickBot="1" x14ac:dyDescent="0.25">
      <c r="A38" s="150" t="s">
        <v>105</v>
      </c>
      <c r="B38" s="151"/>
      <c r="C38" s="115" t="s">
        <v>7</v>
      </c>
      <c r="D38" s="122" t="s">
        <v>117</v>
      </c>
    </row>
    <row r="39" spans="1:4" s="79" customFormat="1" ht="15.75" thickBot="1" x14ac:dyDescent="0.25">
      <c r="A39" s="112" t="s">
        <v>111</v>
      </c>
      <c r="B39" s="97"/>
      <c r="C39" s="113">
        <f>1*0.65*0.9*'Мебельный щит'!$C$19+0.9*50+0.65*2*50</f>
        <v>110090.00000000001</v>
      </c>
      <c r="D39" s="121">
        <f t="shared" ref="D39:D45" si="0">C39/2</f>
        <v>55045.000000000007</v>
      </c>
    </row>
    <row r="40" spans="1:4" ht="15.75" thickBot="1" x14ac:dyDescent="0.25">
      <c r="A40" s="84" t="s">
        <v>112</v>
      </c>
      <c r="B40" s="80"/>
      <c r="C40" s="101">
        <f>1*0.65*1*'Мебельный щит'!$C$19+1*50+0.65*2*50</f>
        <v>122315</v>
      </c>
      <c r="D40" s="121">
        <f t="shared" si="0"/>
        <v>61157.5</v>
      </c>
    </row>
    <row r="41" spans="1:4" ht="15.75" thickBot="1" x14ac:dyDescent="0.25">
      <c r="A41" s="84" t="s">
        <v>113</v>
      </c>
      <c r="B41" s="80"/>
      <c r="C41" s="101">
        <f>1*0.65*1.1*'Мебельный щит'!$C$19+1.1*50+0.65*2*50</f>
        <v>134540.00000000003</v>
      </c>
      <c r="D41" s="121">
        <f t="shared" si="0"/>
        <v>67270.000000000015</v>
      </c>
    </row>
    <row r="42" spans="1:4" ht="15.75" thickBot="1" x14ac:dyDescent="0.25">
      <c r="A42" s="84" t="s">
        <v>114</v>
      </c>
      <c r="B42" s="12"/>
      <c r="C42" s="101">
        <f>1*0.65*1.2*'Мебельный щит'!$C$19+1.2*50+0.65*2*50</f>
        <v>146765</v>
      </c>
      <c r="D42" s="121">
        <f t="shared" si="0"/>
        <v>73382.5</v>
      </c>
    </row>
    <row r="43" spans="1:4" ht="15.75" thickBot="1" x14ac:dyDescent="0.25">
      <c r="A43" s="84" t="s">
        <v>118</v>
      </c>
      <c r="B43" s="12"/>
      <c r="C43" s="101">
        <f>1*0.65*1.3*'Мебельный щит'!$C$19+1.3*50+0.65*2*50</f>
        <v>158990.00000000003</v>
      </c>
      <c r="D43" s="121">
        <f t="shared" si="0"/>
        <v>79495.000000000015</v>
      </c>
    </row>
    <row r="44" spans="1:4" ht="15.75" thickBot="1" x14ac:dyDescent="0.25">
      <c r="A44" s="84" t="s">
        <v>115</v>
      </c>
      <c r="B44" s="12"/>
      <c r="C44" s="101">
        <f>1*0.65*1.4*'Мебельный щит'!$C$19+1.4*50+0.65*2*50</f>
        <v>171214.99999999997</v>
      </c>
      <c r="D44" s="121">
        <f t="shared" si="0"/>
        <v>85607.499999999985</v>
      </c>
    </row>
    <row r="45" spans="1:4" s="79" customFormat="1" ht="15.75" thickBot="1" x14ac:dyDescent="0.25">
      <c r="A45" s="104" t="s">
        <v>116</v>
      </c>
      <c r="B45" s="105"/>
      <c r="C45" s="106">
        <f>1*0.65*1.5*'Мебельный щит'!$C$19+1.5*50+0.65*2*50</f>
        <v>183440.00000000003</v>
      </c>
      <c r="D45" s="121">
        <f t="shared" si="0"/>
        <v>91720.000000000015</v>
      </c>
    </row>
    <row r="46" spans="1:4" ht="25.15" customHeight="1" thickBot="1" x14ac:dyDescent="0.25">
      <c r="A46" s="150" t="s">
        <v>106</v>
      </c>
      <c r="B46" s="151"/>
      <c r="C46" s="114" t="s">
        <v>60</v>
      </c>
      <c r="D46" s="122" t="s">
        <v>117</v>
      </c>
    </row>
    <row r="47" spans="1:4" s="79" customFormat="1" ht="15.75" thickBot="1" x14ac:dyDescent="0.25">
      <c r="A47" s="110" t="s">
        <v>111</v>
      </c>
      <c r="B47" s="99"/>
      <c r="C47" s="111">
        <f>1*0.65*0.9*'Мебельный щит'!$C$19+0.9*50+0.65*2*50+0.65*0.9*1600</f>
        <v>111026.00000000001</v>
      </c>
      <c r="D47" s="121">
        <f>C47/2</f>
        <v>55513.000000000007</v>
      </c>
    </row>
    <row r="48" spans="1:4" ht="15.75" thickBot="1" x14ac:dyDescent="0.25">
      <c r="A48" s="95" t="s">
        <v>112</v>
      </c>
      <c r="B48" s="99"/>
      <c r="C48" s="103">
        <f>1*0.65*1*'Мебельный щит'!$C$19+1*50+0.65*2*50+0.65*1*1600</f>
        <v>123355</v>
      </c>
      <c r="D48" s="121">
        <f t="shared" ref="D48:D101" si="1">C48/2</f>
        <v>61677.5</v>
      </c>
    </row>
    <row r="49" spans="1:4" ht="15.75" thickBot="1" x14ac:dyDescent="0.25">
      <c r="A49" s="95" t="s">
        <v>113</v>
      </c>
      <c r="B49" s="99"/>
      <c r="C49" s="103">
        <f>1*0.65*1.1*'Мебельный щит'!$C$19+1.1*50+0.65*2*50+0.65*1.1*1600</f>
        <v>135684.00000000003</v>
      </c>
      <c r="D49" s="121">
        <f t="shared" si="1"/>
        <v>67842.000000000015</v>
      </c>
    </row>
    <row r="50" spans="1:4" ht="15.75" thickBot="1" x14ac:dyDescent="0.25">
      <c r="A50" s="95" t="s">
        <v>114</v>
      </c>
      <c r="B50" s="99"/>
      <c r="C50" s="103">
        <f>1*0.65*1.2*'Мебельный щит'!$C$19+1.2*50+0.65*2*50+0.65*1.2*1600</f>
        <v>148013</v>
      </c>
      <c r="D50" s="121">
        <f t="shared" si="1"/>
        <v>74006.5</v>
      </c>
    </row>
    <row r="51" spans="1:4" ht="15.75" thickBot="1" x14ac:dyDescent="0.25">
      <c r="A51" s="95" t="s">
        <v>118</v>
      </c>
      <c r="B51" s="99"/>
      <c r="C51" s="103">
        <f>1*0.65*1.3*'Мебельный щит'!$C$19+1.3*50+0.65*2*50+0.65*1.3*1600</f>
        <v>160342.00000000003</v>
      </c>
      <c r="D51" s="121">
        <f t="shared" si="1"/>
        <v>80171.000000000015</v>
      </c>
    </row>
    <row r="52" spans="1:4" ht="15.75" thickBot="1" x14ac:dyDescent="0.25">
      <c r="A52" s="95" t="s">
        <v>115</v>
      </c>
      <c r="B52" s="99"/>
      <c r="C52" s="103">
        <f>1*0.65*1.4*'Мебельный щит'!$C$19+1.4*50+0.65*2*50+0.65*1.4*1600</f>
        <v>172670.99999999997</v>
      </c>
      <c r="D52" s="121">
        <f t="shared" si="1"/>
        <v>86335.499999999985</v>
      </c>
    </row>
    <row r="53" spans="1:4" s="79" customFormat="1" ht="15.75" thickBot="1" x14ac:dyDescent="0.25">
      <c r="A53" s="95" t="s">
        <v>116</v>
      </c>
      <c r="B53" s="100"/>
      <c r="C53" s="103">
        <f>1*0.65*1.5*'Мебельный щит'!$C$19+1.5*50+0.65*2*50+0.65*1.5*1600</f>
        <v>185000.00000000003</v>
      </c>
      <c r="D53" s="121">
        <f t="shared" si="1"/>
        <v>92500.000000000015</v>
      </c>
    </row>
    <row r="54" spans="1:4" ht="25.15" customHeight="1" thickBot="1" x14ac:dyDescent="0.25">
      <c r="A54" s="152" t="s">
        <v>107</v>
      </c>
      <c r="B54" s="153"/>
      <c r="C54" s="102" t="s">
        <v>7</v>
      </c>
      <c r="D54" s="120" t="s">
        <v>117</v>
      </c>
    </row>
    <row r="55" spans="1:4" s="79" customFormat="1" ht="15.75" thickBot="1" x14ac:dyDescent="0.25">
      <c r="A55" s="84" t="s">
        <v>111</v>
      </c>
      <c r="B55" s="85"/>
      <c r="C55" s="101" t="e">
        <f>1*0.65*0.9*'Мебельный щит'!#REF!+0.9*50+0.65*2*50</f>
        <v>#REF!</v>
      </c>
      <c r="D55" s="121" t="e">
        <f t="shared" si="1"/>
        <v>#REF!</v>
      </c>
    </row>
    <row r="56" spans="1:4" ht="15.75" thickBot="1" x14ac:dyDescent="0.25">
      <c r="A56" s="84" t="s">
        <v>112</v>
      </c>
      <c r="B56" s="80"/>
      <c r="C56" s="101" t="e">
        <f>1*0.65*1*'Мебельный щит'!#REF!+1*50+0.65*2*50</f>
        <v>#REF!</v>
      </c>
      <c r="D56" s="121" t="e">
        <f t="shared" si="1"/>
        <v>#REF!</v>
      </c>
    </row>
    <row r="57" spans="1:4" ht="15.75" thickBot="1" x14ac:dyDescent="0.25">
      <c r="A57" s="84" t="s">
        <v>113</v>
      </c>
      <c r="B57" s="80"/>
      <c r="C57" s="101" t="e">
        <f>1*0.65*1.1*'Мебельный щит'!#REF!+1.1*50+0.65*2*50</f>
        <v>#REF!</v>
      </c>
      <c r="D57" s="121" t="e">
        <f t="shared" si="1"/>
        <v>#REF!</v>
      </c>
    </row>
    <row r="58" spans="1:4" ht="15.75" thickBot="1" x14ac:dyDescent="0.25">
      <c r="A58" s="84" t="s">
        <v>114</v>
      </c>
      <c r="B58" s="12"/>
      <c r="C58" s="101" t="e">
        <f>1*0.65*1.2*'Мебельный щит'!#REF!+1.2*50+0.65*2*50</f>
        <v>#REF!</v>
      </c>
      <c r="D58" s="121" t="e">
        <f t="shared" si="1"/>
        <v>#REF!</v>
      </c>
    </row>
    <row r="59" spans="1:4" ht="15.75" thickBot="1" x14ac:dyDescent="0.25">
      <c r="A59" s="84" t="s">
        <v>118</v>
      </c>
      <c r="B59" s="12"/>
      <c r="C59" s="101" t="e">
        <f>1*0.65*1.3*'Мебельный щит'!#REF!+1.3*50+0.65*2*50</f>
        <v>#REF!</v>
      </c>
      <c r="D59" s="121" t="e">
        <f t="shared" si="1"/>
        <v>#REF!</v>
      </c>
    </row>
    <row r="60" spans="1:4" ht="15.75" thickBot="1" x14ac:dyDescent="0.25">
      <c r="A60" s="84" t="s">
        <v>115</v>
      </c>
      <c r="B60" s="12"/>
      <c r="C60" s="101" t="e">
        <f>1*0.65*1.4*'Мебельный щит'!#REF!+1.4*50+0.65*2*50</f>
        <v>#REF!</v>
      </c>
      <c r="D60" s="121" t="e">
        <f t="shared" si="1"/>
        <v>#REF!</v>
      </c>
    </row>
    <row r="61" spans="1:4" s="79" customFormat="1" ht="15.75" thickBot="1" x14ac:dyDescent="0.25">
      <c r="A61" s="84" t="s">
        <v>116</v>
      </c>
      <c r="B61" s="82"/>
      <c r="C61" s="101" t="e">
        <f>1*0.65*1.5*'Мебельный щит'!#REF!+1.5*50+0.65*2*50</f>
        <v>#REF!</v>
      </c>
      <c r="D61" s="121" t="e">
        <f t="shared" si="1"/>
        <v>#REF!</v>
      </c>
    </row>
    <row r="62" spans="1:4" ht="25.15" customHeight="1" thickBot="1" x14ac:dyDescent="0.25">
      <c r="A62" s="152" t="s">
        <v>108</v>
      </c>
      <c r="B62" s="153"/>
      <c r="C62" s="102" t="s">
        <v>60</v>
      </c>
      <c r="D62" s="122" t="s">
        <v>117</v>
      </c>
    </row>
    <row r="63" spans="1:4" s="79" customFormat="1" ht="15.75" thickBot="1" x14ac:dyDescent="0.25">
      <c r="A63" s="95" t="s">
        <v>111</v>
      </c>
      <c r="B63" s="98"/>
      <c r="C63" s="103" t="e">
        <f>1*0.65*0.9*'Мебельный щит'!#REF!+0.9*50+0.65*2*50+0.65*0.9*1600</f>
        <v>#REF!</v>
      </c>
      <c r="D63" s="121" t="e">
        <f t="shared" si="1"/>
        <v>#REF!</v>
      </c>
    </row>
    <row r="64" spans="1:4" ht="15.75" thickBot="1" x14ac:dyDescent="0.25">
      <c r="A64" s="95" t="s">
        <v>112</v>
      </c>
      <c r="B64" s="99"/>
      <c r="C64" s="103" t="e">
        <f>1*0.65*1*'Мебельный щит'!#REF!+1*50+0.65*2*50+0.65*1*1600</f>
        <v>#REF!</v>
      </c>
      <c r="D64" s="121" t="e">
        <f t="shared" si="1"/>
        <v>#REF!</v>
      </c>
    </row>
    <row r="65" spans="1:4" ht="15.75" thickBot="1" x14ac:dyDescent="0.25">
      <c r="A65" s="95" t="s">
        <v>113</v>
      </c>
      <c r="B65" s="99"/>
      <c r="C65" s="103" t="e">
        <f>1*0.65*1.1*'Мебельный щит'!#REF!+1.1*50+0.65*2*50+0.65*1.1*1600</f>
        <v>#REF!</v>
      </c>
      <c r="D65" s="121" t="e">
        <f t="shared" si="1"/>
        <v>#REF!</v>
      </c>
    </row>
    <row r="66" spans="1:4" ht="15.75" thickBot="1" x14ac:dyDescent="0.25">
      <c r="A66" s="95" t="s">
        <v>114</v>
      </c>
      <c r="B66" s="99"/>
      <c r="C66" s="103" t="e">
        <f>1*0.65*1.2*'Мебельный щит'!#REF!+1.2*50+0.65*2*50+0.65*1.2*1600</f>
        <v>#REF!</v>
      </c>
      <c r="D66" s="121" t="e">
        <f t="shared" si="1"/>
        <v>#REF!</v>
      </c>
    </row>
    <row r="67" spans="1:4" ht="15.75" thickBot="1" x14ac:dyDescent="0.25">
      <c r="A67" s="95" t="s">
        <v>118</v>
      </c>
      <c r="B67" s="99"/>
      <c r="C67" s="103" t="e">
        <f>1*0.65*1.3*'Мебельный щит'!#REF!+1.3*50+0.65*2*50+0.65*1.3*1600</f>
        <v>#REF!</v>
      </c>
      <c r="D67" s="121" t="e">
        <f t="shared" si="1"/>
        <v>#REF!</v>
      </c>
    </row>
    <row r="68" spans="1:4" ht="15.75" thickBot="1" x14ac:dyDescent="0.25">
      <c r="A68" s="95" t="s">
        <v>115</v>
      </c>
      <c r="B68" s="99"/>
      <c r="C68" s="103" t="e">
        <f>1*0.65*1.4*'Мебельный щит'!#REF!+1.4*50+0.65*2*50+0.65*1.4*1600</f>
        <v>#REF!</v>
      </c>
      <c r="D68" s="121" t="e">
        <f t="shared" si="1"/>
        <v>#REF!</v>
      </c>
    </row>
    <row r="69" spans="1:4" s="79" customFormat="1" ht="15.75" thickBot="1" x14ac:dyDescent="0.25">
      <c r="A69" s="107" t="s">
        <v>116</v>
      </c>
      <c r="B69" s="108"/>
      <c r="C69" s="119" t="e">
        <f>1*0.65*1.5*'Мебельный щит'!#REF!+1.5*50+0.65*2*50+0.65*1.5*1600</f>
        <v>#REF!</v>
      </c>
      <c r="D69" s="121" t="e">
        <f t="shared" si="1"/>
        <v>#REF!</v>
      </c>
    </row>
    <row r="70" spans="1:4" ht="25.15" customHeight="1" thickBot="1" x14ac:dyDescent="0.25">
      <c r="A70" s="150" t="s">
        <v>109</v>
      </c>
      <c r="B70" s="151"/>
      <c r="C70" s="114" t="s">
        <v>7</v>
      </c>
      <c r="D70" s="120" t="s">
        <v>117</v>
      </c>
    </row>
    <row r="71" spans="1:4" s="79" customFormat="1" ht="15.75" thickBot="1" x14ac:dyDescent="0.25">
      <c r="A71" s="112" t="s">
        <v>111</v>
      </c>
      <c r="B71" s="97"/>
      <c r="C71" s="113" t="e">
        <f>1*0.65*0.9*'Мебельный щит'!#REF!+0.9*50+0.65*2*50</f>
        <v>#REF!</v>
      </c>
      <c r="D71" s="121" t="e">
        <f t="shared" si="1"/>
        <v>#REF!</v>
      </c>
    </row>
    <row r="72" spans="1:4" ht="15.75" thickBot="1" x14ac:dyDescent="0.25">
      <c r="A72" s="84" t="s">
        <v>112</v>
      </c>
      <c r="B72" s="80"/>
      <c r="C72" s="101" t="e">
        <f>1*0.65*1*'Мебельный щит'!#REF!+1*50+0.65*2*50</f>
        <v>#REF!</v>
      </c>
      <c r="D72" s="121" t="e">
        <f t="shared" si="1"/>
        <v>#REF!</v>
      </c>
    </row>
    <row r="73" spans="1:4" ht="15.75" thickBot="1" x14ac:dyDescent="0.25">
      <c r="A73" s="84" t="s">
        <v>113</v>
      </c>
      <c r="B73" s="80"/>
      <c r="C73" s="101" t="e">
        <f>1*0.65*1.1*'Мебельный щит'!#REF!+1.1*50+0.65*2*50</f>
        <v>#REF!</v>
      </c>
      <c r="D73" s="121" t="e">
        <f t="shared" si="1"/>
        <v>#REF!</v>
      </c>
    </row>
    <row r="74" spans="1:4" ht="15.75" thickBot="1" x14ac:dyDescent="0.25">
      <c r="A74" s="84" t="s">
        <v>114</v>
      </c>
      <c r="B74" s="12"/>
      <c r="C74" s="101" t="e">
        <f>1*0.65*1.2*'Мебельный щит'!#REF!+1.2*50+0.65*2*50</f>
        <v>#REF!</v>
      </c>
      <c r="D74" s="121" t="e">
        <f t="shared" si="1"/>
        <v>#REF!</v>
      </c>
    </row>
    <row r="75" spans="1:4" ht="15.75" thickBot="1" x14ac:dyDescent="0.25">
      <c r="A75" s="84" t="s">
        <v>118</v>
      </c>
      <c r="B75" s="12"/>
      <c r="C75" s="101" t="e">
        <f>1*0.65*1.3*'Мебельный щит'!#REF!+1.3*50+0.65*2*50</f>
        <v>#REF!</v>
      </c>
      <c r="D75" s="121" t="e">
        <f t="shared" si="1"/>
        <v>#REF!</v>
      </c>
    </row>
    <row r="76" spans="1:4" ht="15.75" thickBot="1" x14ac:dyDescent="0.25">
      <c r="A76" s="84" t="s">
        <v>115</v>
      </c>
      <c r="B76" s="12"/>
      <c r="C76" s="101" t="e">
        <f>1*0.65*1.4*'Мебельный щит'!#REF!+1.4*50+0.65*2*50</f>
        <v>#REF!</v>
      </c>
      <c r="D76" s="121" t="e">
        <f t="shared" si="1"/>
        <v>#REF!</v>
      </c>
    </row>
    <row r="77" spans="1:4" s="79" customFormat="1" ht="15.75" thickBot="1" x14ac:dyDescent="0.25">
      <c r="A77" s="104" t="s">
        <v>116</v>
      </c>
      <c r="B77" s="105"/>
      <c r="C77" s="106" t="e">
        <f>1*0.65*1.5*'Мебельный щит'!#REF!+1.5*50+0.65*2*50</f>
        <v>#REF!</v>
      </c>
      <c r="D77" s="121" t="e">
        <f t="shared" si="1"/>
        <v>#REF!</v>
      </c>
    </row>
    <row r="78" spans="1:4" ht="25.15" customHeight="1" thickBot="1" x14ac:dyDescent="0.25">
      <c r="A78" s="150" t="s">
        <v>110</v>
      </c>
      <c r="B78" s="151"/>
      <c r="C78" s="114" t="s">
        <v>60</v>
      </c>
      <c r="D78" s="122" t="s">
        <v>117</v>
      </c>
    </row>
    <row r="79" spans="1:4" s="79" customFormat="1" ht="15.75" thickBot="1" x14ac:dyDescent="0.25">
      <c r="A79" s="110" t="s">
        <v>111</v>
      </c>
      <c r="B79" s="99"/>
      <c r="C79" s="111" t="e">
        <f>1*0.65*0.9*'Мебельный щит'!#REF!+0.9*50+0.65*2*50+0.65*0.9*1600</f>
        <v>#REF!</v>
      </c>
      <c r="D79" s="121" t="e">
        <f t="shared" si="1"/>
        <v>#REF!</v>
      </c>
    </row>
    <row r="80" spans="1:4" ht="15.75" thickBot="1" x14ac:dyDescent="0.25">
      <c r="A80" s="95" t="s">
        <v>112</v>
      </c>
      <c r="B80" s="99"/>
      <c r="C80" s="103" t="e">
        <f>1*0.65*1*'Мебельный щит'!#REF!+1*50+0.65*2*50+0.65*1*1600</f>
        <v>#REF!</v>
      </c>
      <c r="D80" s="121" t="e">
        <f t="shared" si="1"/>
        <v>#REF!</v>
      </c>
    </row>
    <row r="81" spans="1:4" ht="15.75" thickBot="1" x14ac:dyDescent="0.25">
      <c r="A81" s="95" t="s">
        <v>113</v>
      </c>
      <c r="B81" s="99"/>
      <c r="C81" s="103" t="e">
        <f>1*0.65*1.1*'Мебельный щит'!#REF!+1.1*50+0.65*2*50+0.65*1.1*1600</f>
        <v>#REF!</v>
      </c>
      <c r="D81" s="121" t="e">
        <f t="shared" si="1"/>
        <v>#REF!</v>
      </c>
    </row>
    <row r="82" spans="1:4" ht="15.75" thickBot="1" x14ac:dyDescent="0.25">
      <c r="A82" s="95" t="s">
        <v>114</v>
      </c>
      <c r="B82" s="99"/>
      <c r="C82" s="103" t="e">
        <f>1*0.65*1.2*'Мебельный щит'!#REF!+1.2*50+0.65*2*50+0.65*1.2*1600</f>
        <v>#REF!</v>
      </c>
      <c r="D82" s="121" t="e">
        <f t="shared" si="1"/>
        <v>#REF!</v>
      </c>
    </row>
    <row r="83" spans="1:4" ht="15.75" thickBot="1" x14ac:dyDescent="0.25">
      <c r="A83" s="95" t="s">
        <v>118</v>
      </c>
      <c r="B83" s="99"/>
      <c r="C83" s="103" t="e">
        <f>1*0.65*1.3*'Мебельный щит'!#REF!+1.3*50+0.65*2*50+0.65*1.3*1600</f>
        <v>#REF!</v>
      </c>
      <c r="D83" s="121" t="e">
        <f t="shared" si="1"/>
        <v>#REF!</v>
      </c>
    </row>
    <row r="84" spans="1:4" ht="15.75" thickBot="1" x14ac:dyDescent="0.25">
      <c r="A84" s="95" t="s">
        <v>115</v>
      </c>
      <c r="B84" s="99"/>
      <c r="C84" s="103" t="e">
        <f>1*0.65*1.4*'Мебельный щит'!#REF!+1.4*50+0.65*2*50+0.65*1.4*1600</f>
        <v>#REF!</v>
      </c>
      <c r="D84" s="121" t="e">
        <f t="shared" si="1"/>
        <v>#REF!</v>
      </c>
    </row>
    <row r="85" spans="1:4" s="79" customFormat="1" ht="15.75" thickBot="1" x14ac:dyDescent="0.25">
      <c r="A85" s="107" t="s">
        <v>116</v>
      </c>
      <c r="B85" s="108"/>
      <c r="C85" s="119" t="e">
        <f>1*0.65*1.5*'Мебельный щит'!#REF!+1.5*50+0.65*2*50+0.65*1.5*1600</f>
        <v>#REF!</v>
      </c>
      <c r="D85" s="121" t="e">
        <f t="shared" si="1"/>
        <v>#REF!</v>
      </c>
    </row>
    <row r="86" spans="1:4" ht="25.15" customHeight="1" thickBot="1" x14ac:dyDescent="0.25">
      <c r="A86" s="150" t="s">
        <v>119</v>
      </c>
      <c r="B86" s="151"/>
      <c r="C86" s="114" t="s">
        <v>7</v>
      </c>
      <c r="D86" s="122" t="s">
        <v>117</v>
      </c>
    </row>
    <row r="87" spans="1:4" s="79" customFormat="1" ht="15.75" thickBot="1" x14ac:dyDescent="0.25">
      <c r="A87" s="112" t="s">
        <v>111</v>
      </c>
      <c r="B87" s="97"/>
      <c r="C87" s="113" t="e">
        <f>1*0.65*0.9*'Мебельный щит'!#REF!+0.9*50+0.65*2*50</f>
        <v>#REF!</v>
      </c>
      <c r="D87" s="121" t="e">
        <f t="shared" si="1"/>
        <v>#REF!</v>
      </c>
    </row>
    <row r="88" spans="1:4" ht="15.75" thickBot="1" x14ac:dyDescent="0.25">
      <c r="A88" s="84" t="s">
        <v>112</v>
      </c>
      <c r="B88" s="80"/>
      <c r="C88" s="101" t="e">
        <f>1*0.65*1*'Мебельный щит'!#REF!+1*50+0.65*2*50</f>
        <v>#REF!</v>
      </c>
      <c r="D88" s="121" t="e">
        <f t="shared" si="1"/>
        <v>#REF!</v>
      </c>
    </row>
    <row r="89" spans="1:4" ht="15.75" thickBot="1" x14ac:dyDescent="0.25">
      <c r="A89" s="84" t="s">
        <v>113</v>
      </c>
      <c r="B89" s="80"/>
      <c r="C89" s="101" t="e">
        <f>1*0.65*1.1*'Мебельный щит'!#REF!+1.1*50+0.65*2*50</f>
        <v>#REF!</v>
      </c>
      <c r="D89" s="121" t="e">
        <f t="shared" si="1"/>
        <v>#REF!</v>
      </c>
    </row>
    <row r="90" spans="1:4" ht="15.75" thickBot="1" x14ac:dyDescent="0.25">
      <c r="A90" s="84" t="s">
        <v>114</v>
      </c>
      <c r="B90" s="12"/>
      <c r="C90" s="101" t="e">
        <f>1*0.65*1.2*'Мебельный щит'!#REF!+1.2*50+0.65*2*50</f>
        <v>#REF!</v>
      </c>
      <c r="D90" s="121" t="e">
        <f t="shared" si="1"/>
        <v>#REF!</v>
      </c>
    </row>
    <row r="91" spans="1:4" ht="15.75" thickBot="1" x14ac:dyDescent="0.25">
      <c r="A91" s="84" t="s">
        <v>118</v>
      </c>
      <c r="B91" s="12"/>
      <c r="C91" s="101" t="e">
        <f>1*0.65*1.3*'Мебельный щит'!#REF!+1.3*50+0.65*2*50</f>
        <v>#REF!</v>
      </c>
      <c r="D91" s="121" t="e">
        <f t="shared" si="1"/>
        <v>#REF!</v>
      </c>
    </row>
    <row r="92" spans="1:4" ht="15.75" thickBot="1" x14ac:dyDescent="0.25">
      <c r="A92" s="84" t="s">
        <v>115</v>
      </c>
      <c r="B92" s="12"/>
      <c r="C92" s="101" t="e">
        <f>1*0.65*1.4*'Мебельный щит'!#REF!+1.4*50+0.65*2*50</f>
        <v>#REF!</v>
      </c>
      <c r="D92" s="121" t="e">
        <f t="shared" si="1"/>
        <v>#REF!</v>
      </c>
    </row>
    <row r="93" spans="1:4" s="79" customFormat="1" ht="15.75" thickBot="1" x14ac:dyDescent="0.25">
      <c r="A93" s="104" t="s">
        <v>116</v>
      </c>
      <c r="B93" s="105"/>
      <c r="C93" s="106" t="e">
        <f>1*0.65*1.5*'Мебельный щит'!#REF!+1.5*50+0.65*2*50</f>
        <v>#REF!</v>
      </c>
      <c r="D93" s="121" t="e">
        <f t="shared" si="1"/>
        <v>#REF!</v>
      </c>
    </row>
    <row r="94" spans="1:4" ht="25.15" customHeight="1" thickBot="1" x14ac:dyDescent="0.25">
      <c r="A94" s="150" t="s">
        <v>120</v>
      </c>
      <c r="B94" s="151"/>
      <c r="C94" s="114" t="s">
        <v>60</v>
      </c>
      <c r="D94" s="122" t="s">
        <v>117</v>
      </c>
    </row>
    <row r="95" spans="1:4" s="79" customFormat="1" ht="15.75" thickBot="1" x14ac:dyDescent="0.25">
      <c r="A95" s="110" t="s">
        <v>111</v>
      </c>
      <c r="B95" s="99"/>
      <c r="C95" s="111" t="e">
        <f>1*0.65*0.9*'Мебельный щит'!#REF!+0.9*50+0.65*2*50+0.65*0.9*1600</f>
        <v>#REF!</v>
      </c>
      <c r="D95" s="121" t="e">
        <f t="shared" si="1"/>
        <v>#REF!</v>
      </c>
    </row>
    <row r="96" spans="1:4" ht="15.75" thickBot="1" x14ac:dyDescent="0.25">
      <c r="A96" s="95" t="s">
        <v>112</v>
      </c>
      <c r="B96" s="99"/>
      <c r="C96" s="103" t="e">
        <f>1*0.65*1*'Мебельный щит'!#REF!+1*50+0.65*2*50+0.65*1*1600</f>
        <v>#REF!</v>
      </c>
      <c r="D96" s="121" t="e">
        <f t="shared" si="1"/>
        <v>#REF!</v>
      </c>
    </row>
    <row r="97" spans="1:4" ht="15.75" thickBot="1" x14ac:dyDescent="0.25">
      <c r="A97" s="95" t="s">
        <v>113</v>
      </c>
      <c r="B97" s="99"/>
      <c r="C97" s="103" t="e">
        <f>1*0.65*1.1*'Мебельный щит'!#REF!+1.1*50+0.65*2*50+0.65*1.1*1600</f>
        <v>#REF!</v>
      </c>
      <c r="D97" s="121" t="e">
        <f t="shared" si="1"/>
        <v>#REF!</v>
      </c>
    </row>
    <row r="98" spans="1:4" ht="15.75" thickBot="1" x14ac:dyDescent="0.25">
      <c r="A98" s="95" t="s">
        <v>114</v>
      </c>
      <c r="B98" s="99"/>
      <c r="C98" s="103" t="e">
        <f>1*0.65*1.2*'Мебельный щит'!#REF!+1.2*50+0.65*2*50+0.65*1.2*1600</f>
        <v>#REF!</v>
      </c>
      <c r="D98" s="121" t="e">
        <f t="shared" si="1"/>
        <v>#REF!</v>
      </c>
    </row>
    <row r="99" spans="1:4" ht="15.75" thickBot="1" x14ac:dyDescent="0.25">
      <c r="A99" s="95" t="s">
        <v>118</v>
      </c>
      <c r="B99" s="99"/>
      <c r="C99" s="103" t="e">
        <f>1*0.65*1.3*'Мебельный щит'!#REF!+1.3*50+0.65*2*50+0.65*1.3*1600</f>
        <v>#REF!</v>
      </c>
      <c r="D99" s="121" t="e">
        <f t="shared" si="1"/>
        <v>#REF!</v>
      </c>
    </row>
    <row r="100" spans="1:4" ht="15.75" thickBot="1" x14ac:dyDescent="0.25">
      <c r="A100" s="95" t="s">
        <v>115</v>
      </c>
      <c r="B100" s="99"/>
      <c r="C100" s="103" t="e">
        <f>1*0.65*1.4*'Мебельный щит'!#REF!+1.4*50+0.65*2*50+0.65*1.4*1600</f>
        <v>#REF!</v>
      </c>
      <c r="D100" s="121" t="e">
        <f t="shared" si="1"/>
        <v>#REF!</v>
      </c>
    </row>
    <row r="101" spans="1:4" s="79" customFormat="1" ht="15.75" thickBot="1" x14ac:dyDescent="0.25">
      <c r="A101" s="116" t="s">
        <v>116</v>
      </c>
      <c r="B101" s="117"/>
      <c r="C101" s="118" t="e">
        <f>1*0.65*1.5*'Мебельный щит'!#REF!+1.5*50+0.65*2*50+0.65*1.5*1600</f>
        <v>#REF!</v>
      </c>
      <c r="D101" s="121" t="e">
        <f t="shared" si="1"/>
        <v>#REF!</v>
      </c>
    </row>
    <row r="102" spans="1:4" x14ac:dyDescent="0.2">
      <c r="A102" s="93" t="s">
        <v>51</v>
      </c>
    </row>
    <row r="103" spans="1:4" ht="27.75" x14ac:dyDescent="0.2">
      <c r="A103" s="77" t="s">
        <v>52</v>
      </c>
      <c r="B103" s="76" t="s">
        <v>50</v>
      </c>
    </row>
    <row r="104" spans="1:4" x14ac:dyDescent="0.2">
      <c r="B104" s="78" t="s">
        <v>53</v>
      </c>
    </row>
    <row r="107" spans="1:4" x14ac:dyDescent="0.2">
      <c r="A107" t="s">
        <v>61</v>
      </c>
    </row>
  </sheetData>
  <sheetProtection sheet="1" objects="1" scenarios="1"/>
  <mergeCells count="13">
    <mergeCell ref="A2:A3"/>
    <mergeCell ref="A6:B6"/>
    <mergeCell ref="A14:B14"/>
    <mergeCell ref="A38:B38"/>
    <mergeCell ref="A86:B86"/>
    <mergeCell ref="A94:B94"/>
    <mergeCell ref="A22:B22"/>
    <mergeCell ref="A30:B30"/>
    <mergeCell ref="A46:B46"/>
    <mergeCell ref="A54:B54"/>
    <mergeCell ref="A62:B62"/>
    <mergeCell ref="A70:B70"/>
    <mergeCell ref="A78:B78"/>
  </mergeCells>
  <phoneticPr fontId="3" type="noConversion"/>
  <pageMargins left="0.25" right="0.25" top="0.75" bottom="0.75" header="0.3" footer="0.3"/>
  <pageSetup paperSize="9" scale="9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08CA5-6CC1-46E4-B12D-E8066D09306D}">
  <sheetPr>
    <tabColor theme="4" tint="-0.499984740745262"/>
    <pageSetUpPr fitToPage="1"/>
  </sheetPr>
  <dimension ref="A1:D171"/>
  <sheetViews>
    <sheetView zoomScale="70" zoomScaleNormal="70" workbookViewId="0">
      <selection activeCell="A112" sqref="A112"/>
    </sheetView>
  </sheetViews>
  <sheetFormatPr defaultRowHeight="15" x14ac:dyDescent="0.2"/>
  <cols>
    <col min="1" max="1" width="27.44140625" customWidth="1"/>
    <col min="2" max="2" width="50.04296875" customWidth="1"/>
    <col min="3" max="3" width="9.01171875" customWidth="1"/>
    <col min="4" max="4" width="8.47265625" customWidth="1"/>
  </cols>
  <sheetData>
    <row r="1" spans="1:4" s="1" customFormat="1" ht="143.44999999999999" customHeight="1" thickBot="1" x14ac:dyDescent="0.25">
      <c r="A1" s="2"/>
      <c r="B1" s="3"/>
      <c r="C1" s="4"/>
      <c r="D1" s="3"/>
    </row>
    <row r="2" spans="1:4" s="1" customFormat="1" ht="24" customHeight="1" x14ac:dyDescent="0.2">
      <c r="A2" s="154"/>
      <c r="B2" s="24" t="s">
        <v>2</v>
      </c>
      <c r="C2" s="23"/>
      <c r="D2" s="6"/>
    </row>
    <row r="3" spans="1:4" s="1" customFormat="1" ht="25.15" customHeight="1" x14ac:dyDescent="0.2">
      <c r="A3" s="155"/>
      <c r="B3" s="64" t="s">
        <v>30</v>
      </c>
      <c r="C3" s="21"/>
    </row>
    <row r="4" spans="1:4" s="1" customFormat="1" ht="25.9" customHeight="1" x14ac:dyDescent="0.2">
      <c r="A4" s="25" t="s">
        <v>1</v>
      </c>
      <c r="B4" s="26" t="s">
        <v>3</v>
      </c>
      <c r="C4" s="5"/>
    </row>
    <row r="5" spans="1:4" s="1" customFormat="1" ht="27.6" customHeight="1" thickBot="1" x14ac:dyDescent="0.25">
      <c r="A5" s="25" t="s">
        <v>0</v>
      </c>
      <c r="B5" s="27" t="s">
        <v>4</v>
      </c>
      <c r="C5" s="22"/>
    </row>
    <row r="6" spans="1:4" ht="25.15" customHeight="1" thickBot="1" x14ac:dyDescent="0.25">
      <c r="A6" s="152" t="s">
        <v>89</v>
      </c>
      <c r="B6" s="153"/>
      <c r="C6" s="83" t="s">
        <v>7</v>
      </c>
    </row>
    <row r="7" spans="1:4" s="79" customFormat="1" x14ac:dyDescent="0.2">
      <c r="A7" s="84" t="s">
        <v>62</v>
      </c>
      <c r="B7" s="85"/>
      <c r="C7" s="86">
        <f>0.02*0.6*2*'Мебельный щит'!C9+2*50</f>
        <v>4060</v>
      </c>
    </row>
    <row r="8" spans="1:4" x14ac:dyDescent="0.2">
      <c r="A8" s="87" t="s">
        <v>54</v>
      </c>
      <c r="B8" s="80"/>
      <c r="C8" s="81">
        <f>0.02*0.6*2.5*'Мебельный щит'!C9+2.5*50</f>
        <v>5075</v>
      </c>
    </row>
    <row r="9" spans="1:4" x14ac:dyDescent="0.2">
      <c r="A9" s="87" t="s">
        <v>55</v>
      </c>
      <c r="B9" s="80"/>
      <c r="C9" s="81">
        <f>0.02*0.6*3*'Мебельный щит'!C9+3*50</f>
        <v>6090.0000000000009</v>
      </c>
    </row>
    <row r="10" spans="1:4" x14ac:dyDescent="0.2">
      <c r="A10" s="91" t="s">
        <v>64</v>
      </c>
      <c r="B10" s="12"/>
      <c r="C10" s="13" t="e">
        <f>0.029*0.6*2*'Мебельный щит'!C12+2*50</f>
        <v>#REF!</v>
      </c>
    </row>
    <row r="11" spans="1:4" x14ac:dyDescent="0.2">
      <c r="A11" s="91" t="s">
        <v>56</v>
      </c>
      <c r="B11" s="12"/>
      <c r="C11" s="13" t="e">
        <f>0.029*0.6*2.5*'Мебельный щит'!C12+2.5*50</f>
        <v>#REF!</v>
      </c>
    </row>
    <row r="12" spans="1:4" x14ac:dyDescent="0.2">
      <c r="A12" s="91" t="s">
        <v>57</v>
      </c>
      <c r="B12" s="12"/>
      <c r="C12" s="13" t="e">
        <f>0.029*0.6*3*'Мебельный щит'!C12+3*50</f>
        <v>#REF!</v>
      </c>
    </row>
    <row r="13" spans="1:4" s="79" customFormat="1" x14ac:dyDescent="0.2">
      <c r="A13" s="87" t="s">
        <v>63</v>
      </c>
      <c r="B13" s="82"/>
      <c r="C13" s="81">
        <f>0.04*0.6*2*'Мебельный щит'!C14+2*50</f>
        <v>8548</v>
      </c>
    </row>
    <row r="14" spans="1:4" x14ac:dyDescent="0.2">
      <c r="A14" s="87" t="s">
        <v>58</v>
      </c>
      <c r="B14" s="82"/>
      <c r="C14" s="81">
        <f>0.04*0.6*2.5*'Мебельный щит'!C14+2.5*50</f>
        <v>10685</v>
      </c>
    </row>
    <row r="15" spans="1:4" ht="15.75" thickBot="1" x14ac:dyDescent="0.25">
      <c r="A15" s="88" t="s">
        <v>59</v>
      </c>
      <c r="B15" s="89"/>
      <c r="C15" s="90">
        <f>0.04*0.6*3*'Мебельный щит'!C14+3*50</f>
        <v>12822.000000000002</v>
      </c>
    </row>
    <row r="16" spans="1:4" s="79" customFormat="1" x14ac:dyDescent="0.2">
      <c r="A16" s="84" t="s">
        <v>65</v>
      </c>
      <c r="B16" s="85"/>
      <c r="C16" s="86">
        <f>0.02*1*2*'Мебельный щит'!C9+2*50*2+2*50</f>
        <v>6900</v>
      </c>
    </row>
    <row r="17" spans="1:3" x14ac:dyDescent="0.2">
      <c r="A17" s="87" t="s">
        <v>66</v>
      </c>
      <c r="B17" s="80"/>
      <c r="C17" s="81">
        <f>0.02*1*2.5*'Мебельный щит'!C9+2.5*50*2+2*50</f>
        <v>8600</v>
      </c>
    </row>
    <row r="18" spans="1:3" x14ac:dyDescent="0.2">
      <c r="A18" s="87" t="s">
        <v>67</v>
      </c>
      <c r="B18" s="80"/>
      <c r="C18" s="81">
        <f>0.02*1*3*'Мебельный щит'!C9+3*50*2+2*50</f>
        <v>10300</v>
      </c>
    </row>
    <row r="19" spans="1:3" x14ac:dyDescent="0.2">
      <c r="A19" s="91" t="s">
        <v>68</v>
      </c>
      <c r="B19" s="12"/>
      <c r="C19" s="13" t="e">
        <f>0.029*1*2*'Мебельный щит'!C12+2*50*2+2*50</f>
        <v>#REF!</v>
      </c>
    </row>
    <row r="20" spans="1:3" x14ac:dyDescent="0.2">
      <c r="A20" s="91" t="s">
        <v>69</v>
      </c>
      <c r="B20" s="12"/>
      <c r="C20" s="13" t="e">
        <f>0.029*1*2.5*'Мебельный щит'!C12+2.5*50*2+2*50</f>
        <v>#REF!</v>
      </c>
    </row>
    <row r="21" spans="1:3" x14ac:dyDescent="0.2">
      <c r="A21" s="91" t="s">
        <v>70</v>
      </c>
      <c r="B21" s="12"/>
      <c r="C21" s="13" t="e">
        <f>0.029*1*3*'Мебельный щит'!C12+3*50*2+2*50</f>
        <v>#REF!</v>
      </c>
    </row>
    <row r="22" spans="1:3" s="79" customFormat="1" x14ac:dyDescent="0.2">
      <c r="A22" s="87" t="s">
        <v>71</v>
      </c>
      <c r="B22" s="82"/>
      <c r="C22" s="81">
        <f>0.04*1*2*'Мебельный щит'!C14+2*50*2+2*50</f>
        <v>14380</v>
      </c>
    </row>
    <row r="23" spans="1:3" x14ac:dyDescent="0.2">
      <c r="A23" s="87" t="s">
        <v>72</v>
      </c>
      <c r="B23" s="82"/>
      <c r="C23" s="81">
        <f>0.04*1*2.5*'Мебельный щит'!C14+2.5*50*2+2*50</f>
        <v>17950</v>
      </c>
    </row>
    <row r="24" spans="1:3" ht="15.75" thickBot="1" x14ac:dyDescent="0.25">
      <c r="A24" s="88" t="s">
        <v>73</v>
      </c>
      <c r="B24" s="89"/>
      <c r="C24" s="90">
        <f>0.04*1*3*'Мебельный щит'!C14+3*50*2+2*50</f>
        <v>21520</v>
      </c>
    </row>
    <row r="25" spans="1:3" ht="25.15" customHeight="1" thickBot="1" x14ac:dyDescent="0.25">
      <c r="A25" s="152" t="s">
        <v>88</v>
      </c>
      <c r="B25" s="153"/>
      <c r="C25" s="83" t="s">
        <v>60</v>
      </c>
    </row>
    <row r="26" spans="1:3" s="79" customFormat="1" x14ac:dyDescent="0.2">
      <c r="A26" s="84" t="s">
        <v>62</v>
      </c>
      <c r="B26" s="85"/>
      <c r="C26" s="86">
        <f>0.02*0.6*2*'Мебельный щит'!C9+2*50+0.6*2*1600</f>
        <v>5980</v>
      </c>
    </row>
    <row r="27" spans="1:3" x14ac:dyDescent="0.2">
      <c r="A27" s="87" t="s">
        <v>54</v>
      </c>
      <c r="B27" s="80"/>
      <c r="C27" s="81">
        <f>0.02*0.6*2.5*'Мебельный щит'!C9+2.5*50+0.6*2.5*1600</f>
        <v>7475</v>
      </c>
    </row>
    <row r="28" spans="1:3" x14ac:dyDescent="0.2">
      <c r="A28" s="87" t="s">
        <v>55</v>
      </c>
      <c r="B28" s="80"/>
      <c r="C28" s="81">
        <f>0.02*0.6*3*'Мебельный щит'!C9+3*50+0.6*3*1600</f>
        <v>8970</v>
      </c>
    </row>
    <row r="29" spans="1:3" x14ac:dyDescent="0.2">
      <c r="A29" s="91" t="s">
        <v>64</v>
      </c>
      <c r="B29" s="12"/>
      <c r="C29" s="13" t="e">
        <f>0.029*0.6*2*'Мебельный щит'!C12+2*50+0.6*2*1600</f>
        <v>#REF!</v>
      </c>
    </row>
    <row r="30" spans="1:3" x14ac:dyDescent="0.2">
      <c r="A30" s="91" t="s">
        <v>56</v>
      </c>
      <c r="B30" s="12"/>
      <c r="C30" s="13" t="e">
        <f>0.029*0.6*2.5*'Мебельный щит'!C12+2.5*50+0.6*2.5*1600</f>
        <v>#REF!</v>
      </c>
    </row>
    <row r="31" spans="1:3" x14ac:dyDescent="0.2">
      <c r="A31" s="91" t="s">
        <v>57</v>
      </c>
      <c r="B31" s="12"/>
      <c r="C31" s="13" t="e">
        <f>0.029*0.6*3*'Мебельный щит'!C12+3*50+0.6*3*1600</f>
        <v>#REF!</v>
      </c>
    </row>
    <row r="32" spans="1:3" s="79" customFormat="1" x14ac:dyDescent="0.2">
      <c r="A32" s="87" t="s">
        <v>63</v>
      </c>
      <c r="B32" s="82"/>
      <c r="C32" s="81">
        <f>0.04*0.6*2*'Мебельный щит'!C14+2*50+0.6*2*1600</f>
        <v>10468</v>
      </c>
    </row>
    <row r="33" spans="1:3" x14ac:dyDescent="0.2">
      <c r="A33" s="87" t="s">
        <v>58</v>
      </c>
      <c r="B33" s="82"/>
      <c r="C33" s="81">
        <f>0.04*0.6*2.5*'Мебельный щит'!C14+2.5*50+0.6*2.5*1600</f>
        <v>13085</v>
      </c>
    </row>
    <row r="34" spans="1:3" ht="15.75" thickBot="1" x14ac:dyDescent="0.25">
      <c r="A34" s="88" t="s">
        <v>59</v>
      </c>
      <c r="B34" s="89"/>
      <c r="C34" s="90">
        <f>0.04*0.6*3*'Мебельный щит'!C14+3*50+0.6*3*1600</f>
        <v>15702.000000000002</v>
      </c>
    </row>
    <row r="35" spans="1:3" s="79" customFormat="1" x14ac:dyDescent="0.2">
      <c r="A35" s="84" t="s">
        <v>65</v>
      </c>
      <c r="B35" s="85"/>
      <c r="C35" s="86">
        <f>0.02*1*2*'Мебельный щит'!C9+2*50*2+2*50+1*2*1600</f>
        <v>10100</v>
      </c>
    </row>
    <row r="36" spans="1:3" x14ac:dyDescent="0.2">
      <c r="A36" s="87" t="s">
        <v>66</v>
      </c>
      <c r="B36" s="80"/>
      <c r="C36" s="81">
        <f>0.02*1*2.5*'Мебельный щит'!C9+2.5*50*2+2*50+1*2.5*1600</f>
        <v>12600</v>
      </c>
    </row>
    <row r="37" spans="1:3" x14ac:dyDescent="0.2">
      <c r="A37" s="87" t="s">
        <v>67</v>
      </c>
      <c r="B37" s="80"/>
      <c r="C37" s="81">
        <f>0.02*1*3*'Мебельный щит'!C9+3*50*2+2*50+1*3*1600</f>
        <v>15100</v>
      </c>
    </row>
    <row r="38" spans="1:3" x14ac:dyDescent="0.2">
      <c r="A38" s="91" t="s">
        <v>68</v>
      </c>
      <c r="B38" s="12"/>
      <c r="C38" s="13" t="e">
        <f>0.029*1*2*'Мебельный щит'!C12+2*50*2+2*50+1*2*1600</f>
        <v>#REF!</v>
      </c>
    </row>
    <row r="39" spans="1:3" x14ac:dyDescent="0.2">
      <c r="A39" s="91" t="s">
        <v>69</v>
      </c>
      <c r="B39" s="12"/>
      <c r="C39" s="13" t="e">
        <f>0.029*1*2.5*'Мебельный щит'!C12+2.5*50*2+2*50+1*2.5*1600</f>
        <v>#REF!</v>
      </c>
    </row>
    <row r="40" spans="1:3" x14ac:dyDescent="0.2">
      <c r="A40" s="91" t="s">
        <v>70</v>
      </c>
      <c r="B40" s="12"/>
      <c r="C40" s="13" t="e">
        <f>0.029*1*3*'Мебельный щит'!C12+3*50*2+2*50+1*3*1600</f>
        <v>#REF!</v>
      </c>
    </row>
    <row r="41" spans="1:3" s="79" customFormat="1" x14ac:dyDescent="0.2">
      <c r="A41" s="87" t="s">
        <v>71</v>
      </c>
      <c r="B41" s="82"/>
      <c r="C41" s="81">
        <f>0.04*1*2*'Мебельный щит'!C14+2*50*2+2*50+1*2*1600</f>
        <v>17580</v>
      </c>
    </row>
    <row r="42" spans="1:3" x14ac:dyDescent="0.2">
      <c r="A42" s="87" t="s">
        <v>72</v>
      </c>
      <c r="B42" s="82"/>
      <c r="C42" s="81">
        <f>0.04*1*2.5*'Мебельный щит'!C14+2.5*50*2+2*50+1*2.5*1600</f>
        <v>21950</v>
      </c>
    </row>
    <row r="43" spans="1:3" ht="15.75" thickBot="1" x14ac:dyDescent="0.25">
      <c r="A43" s="88" t="s">
        <v>73</v>
      </c>
      <c r="B43" s="89"/>
      <c r="C43" s="90">
        <f>0.04*1*3*'Мебельный щит'!C14+3*50*2+2*50+1*3*1600</f>
        <v>26320</v>
      </c>
    </row>
    <row r="44" spans="1:3" ht="25.15" customHeight="1" thickBot="1" x14ac:dyDescent="0.25">
      <c r="A44" s="152" t="s">
        <v>90</v>
      </c>
      <c r="B44" s="153"/>
      <c r="C44" s="83" t="s">
        <v>60</v>
      </c>
    </row>
    <row r="45" spans="1:3" s="79" customFormat="1" x14ac:dyDescent="0.2">
      <c r="A45" s="84" t="s">
        <v>62</v>
      </c>
      <c r="B45" s="85"/>
      <c r="C45" s="86">
        <f>0.02*0.6*2*'Мебельный щит'!C11+2*50</f>
        <v>2356</v>
      </c>
    </row>
    <row r="46" spans="1:3" x14ac:dyDescent="0.2">
      <c r="A46" s="87" t="s">
        <v>54</v>
      </c>
      <c r="B46" s="80"/>
      <c r="C46" s="81">
        <f>0.02*0.6*2.5*'Мебельный щит'!C11+2.5*50</f>
        <v>2945</v>
      </c>
    </row>
    <row r="47" spans="1:3" x14ac:dyDescent="0.2">
      <c r="A47" s="87" t="s">
        <v>55</v>
      </c>
      <c r="B47" s="80"/>
      <c r="C47" s="81">
        <f>0.02*0.6*3*'Мебельный щит'!C11+3*50</f>
        <v>3534.0000000000005</v>
      </c>
    </row>
    <row r="48" spans="1:3" x14ac:dyDescent="0.2">
      <c r="A48" s="91" t="s">
        <v>64</v>
      </c>
      <c r="B48" s="12"/>
      <c r="C48" s="13" t="e">
        <f>0.029*0.6*2*'Мебельный щит'!C13+2*50</f>
        <v>#REF!</v>
      </c>
    </row>
    <row r="49" spans="1:3" x14ac:dyDescent="0.2">
      <c r="A49" s="91" t="s">
        <v>56</v>
      </c>
      <c r="B49" s="12"/>
      <c r="C49" s="13" t="e">
        <f>0.029*0.6*2.5*'Мебельный щит'!C13+2.5*50</f>
        <v>#REF!</v>
      </c>
    </row>
    <row r="50" spans="1:3" x14ac:dyDescent="0.2">
      <c r="A50" s="91" t="s">
        <v>57</v>
      </c>
      <c r="B50" s="12"/>
      <c r="C50" s="13" t="e">
        <f>0.029*0.6*3*'Мебельный щит'!C13+3*50</f>
        <v>#REF!</v>
      </c>
    </row>
    <row r="51" spans="1:3" s="79" customFormat="1" x14ac:dyDescent="0.2">
      <c r="A51" s="87" t="s">
        <v>63</v>
      </c>
      <c r="B51" s="82"/>
      <c r="C51" s="81">
        <f>0.04*0.6*2*'Мебельный щит'!C16+2*50</f>
        <v>5188</v>
      </c>
    </row>
    <row r="52" spans="1:3" x14ac:dyDescent="0.2">
      <c r="A52" s="87" t="s">
        <v>58</v>
      </c>
      <c r="B52" s="82"/>
      <c r="C52" s="81">
        <f>0.04*0.6*2.5*'Мебельный щит'!C16+2.5*50</f>
        <v>6485</v>
      </c>
    </row>
    <row r="53" spans="1:3" ht="15.75" thickBot="1" x14ac:dyDescent="0.25">
      <c r="A53" s="88" t="s">
        <v>59</v>
      </c>
      <c r="B53" s="89"/>
      <c r="C53" s="90">
        <f>0.04*0.6*3*'Мебельный щит'!C16+3*50</f>
        <v>7782.0000000000009</v>
      </c>
    </row>
    <row r="54" spans="1:3" s="79" customFormat="1" x14ac:dyDescent="0.2">
      <c r="A54" s="84" t="s">
        <v>65</v>
      </c>
      <c r="B54" s="85"/>
      <c r="C54" s="86">
        <f>0.02*1*2*'Мебельный щит'!C11+2*50*2+2*50</f>
        <v>4060</v>
      </c>
    </row>
    <row r="55" spans="1:3" x14ac:dyDescent="0.2">
      <c r="A55" s="87" t="s">
        <v>66</v>
      </c>
      <c r="B55" s="80"/>
      <c r="C55" s="81">
        <f>0.02*1*2.5*'Мебельный щит'!C11+2.5*50*2+2*50</f>
        <v>5050</v>
      </c>
    </row>
    <row r="56" spans="1:3" x14ac:dyDescent="0.2">
      <c r="A56" s="87" t="s">
        <v>67</v>
      </c>
      <c r="B56" s="80"/>
      <c r="C56" s="81">
        <f>0.02*1*3*'Мебельный щит'!C11+3*50*2+2*50</f>
        <v>6040</v>
      </c>
    </row>
    <row r="57" spans="1:3" x14ac:dyDescent="0.2">
      <c r="A57" s="91" t="s">
        <v>68</v>
      </c>
      <c r="B57" s="12"/>
      <c r="C57" s="13" t="e">
        <f>0.029*1*2*'Мебельный щит'!C13+2*50*2+2*50</f>
        <v>#REF!</v>
      </c>
    </row>
    <row r="58" spans="1:3" x14ac:dyDescent="0.2">
      <c r="A58" s="91" t="s">
        <v>69</v>
      </c>
      <c r="B58" s="12"/>
      <c r="C58" s="13" t="e">
        <f>0.029*1*2.5*'Мебельный щит'!C13+2.5*50*2+2*50</f>
        <v>#REF!</v>
      </c>
    </row>
    <row r="59" spans="1:3" x14ac:dyDescent="0.2">
      <c r="A59" s="91" t="s">
        <v>70</v>
      </c>
      <c r="B59" s="12"/>
      <c r="C59" s="13" t="e">
        <f>0.029*1*3*'Мебельный щит'!C13+3*50*2+2*50</f>
        <v>#REF!</v>
      </c>
    </row>
    <row r="60" spans="1:3" s="79" customFormat="1" x14ac:dyDescent="0.2">
      <c r="A60" s="87" t="s">
        <v>71</v>
      </c>
      <c r="B60" s="82"/>
      <c r="C60" s="81">
        <f>0.04*1*2*'Мебельный щит'!C16+2*50*2+2*50</f>
        <v>8780</v>
      </c>
    </row>
    <row r="61" spans="1:3" x14ac:dyDescent="0.2">
      <c r="A61" s="87" t="s">
        <v>72</v>
      </c>
      <c r="B61" s="82"/>
      <c r="C61" s="81">
        <f>0.04*1*2.5*'Мебельный щит'!C16+2.5*50*2+2*50</f>
        <v>10950</v>
      </c>
    </row>
    <row r="62" spans="1:3" ht="15.75" thickBot="1" x14ac:dyDescent="0.25">
      <c r="A62" s="88" t="s">
        <v>73</v>
      </c>
      <c r="B62" s="89"/>
      <c r="C62" s="90">
        <f>0.04*1*3*'Мебельный щит'!C16+3*50*2+2*50</f>
        <v>13120</v>
      </c>
    </row>
    <row r="63" spans="1:3" ht="25.15" customHeight="1" thickBot="1" x14ac:dyDescent="0.25">
      <c r="A63" s="152" t="s">
        <v>83</v>
      </c>
      <c r="B63" s="153"/>
      <c r="C63" s="83" t="s">
        <v>60</v>
      </c>
    </row>
    <row r="64" spans="1:3" s="79" customFormat="1" x14ac:dyDescent="0.2">
      <c r="A64" s="84" t="s">
        <v>62</v>
      </c>
      <c r="B64" s="85"/>
      <c r="C64" s="86">
        <f>0.02*0.6*2*'Мебельный щит'!C11+2*50+0.6*2*1600</f>
        <v>4276</v>
      </c>
    </row>
    <row r="65" spans="1:3" x14ac:dyDescent="0.2">
      <c r="A65" s="87" t="s">
        <v>54</v>
      </c>
      <c r="B65" s="80"/>
      <c r="C65" s="81">
        <f>0.02*0.6*2.5*'Мебельный щит'!C11+2.5*50+0.6*2.5*1600</f>
        <v>5345</v>
      </c>
    </row>
    <row r="66" spans="1:3" x14ac:dyDescent="0.2">
      <c r="A66" s="87" t="s">
        <v>55</v>
      </c>
      <c r="B66" s="80"/>
      <c r="C66" s="81">
        <f>0.02*0.6*3*'Мебельный щит'!C11+3*50+0.6*3*1600</f>
        <v>6414</v>
      </c>
    </row>
    <row r="67" spans="1:3" x14ac:dyDescent="0.2">
      <c r="A67" s="91" t="s">
        <v>64</v>
      </c>
      <c r="B67" s="12"/>
      <c r="C67" s="13" t="e">
        <f>0.029*0.6*2*'Мебельный щит'!C13+2*50+0.6*2*1600</f>
        <v>#REF!</v>
      </c>
    </row>
    <row r="68" spans="1:3" x14ac:dyDescent="0.2">
      <c r="A68" s="91" t="s">
        <v>56</v>
      </c>
      <c r="B68" s="12"/>
      <c r="C68" s="13" t="e">
        <f>0.029*0.6*2.5*'Мебельный щит'!C13+2.5*50+0.6*2.5*1600</f>
        <v>#REF!</v>
      </c>
    </row>
    <row r="69" spans="1:3" x14ac:dyDescent="0.2">
      <c r="A69" s="91" t="s">
        <v>57</v>
      </c>
      <c r="B69" s="12"/>
      <c r="C69" s="13" t="e">
        <f>0.029*0.6*3*'Мебельный щит'!C13+3*50+0.6*3*1600</f>
        <v>#REF!</v>
      </c>
    </row>
    <row r="70" spans="1:3" s="79" customFormat="1" x14ac:dyDescent="0.2">
      <c r="A70" s="87" t="s">
        <v>63</v>
      </c>
      <c r="B70" s="82"/>
      <c r="C70" s="81">
        <f>0.04*0.6*2*'Мебельный щит'!C16+2*50+0.6*2*1600</f>
        <v>7108</v>
      </c>
    </row>
    <row r="71" spans="1:3" x14ac:dyDescent="0.2">
      <c r="A71" s="87" t="s">
        <v>58</v>
      </c>
      <c r="B71" s="82"/>
      <c r="C71" s="81">
        <f>0.04*0.6*2.5*'Мебельный щит'!C16+2.5*50+0.6*2.5*1600</f>
        <v>8885</v>
      </c>
    </row>
    <row r="72" spans="1:3" ht="15.75" thickBot="1" x14ac:dyDescent="0.25">
      <c r="A72" s="88" t="s">
        <v>59</v>
      </c>
      <c r="B72" s="89"/>
      <c r="C72" s="90">
        <f>0.04*0.6*3*'Мебельный щит'!C16+3*50+0.6*3*1600</f>
        <v>10662</v>
      </c>
    </row>
    <row r="73" spans="1:3" s="79" customFormat="1" x14ac:dyDescent="0.2">
      <c r="A73" s="84" t="s">
        <v>65</v>
      </c>
      <c r="B73" s="85"/>
      <c r="C73" s="86">
        <f>0.02*1*2*'Мебельный щит'!C11+2*50*2+2*50+1*2*1600</f>
        <v>7260</v>
      </c>
    </row>
    <row r="74" spans="1:3" x14ac:dyDescent="0.2">
      <c r="A74" s="87" t="s">
        <v>66</v>
      </c>
      <c r="B74" s="80"/>
      <c r="C74" s="81">
        <f>0.02*1*2.5*'Мебельный щит'!C11+2.5*50*2+2*50+1*2.5*1600</f>
        <v>9050</v>
      </c>
    </row>
    <row r="75" spans="1:3" x14ac:dyDescent="0.2">
      <c r="A75" s="87" t="s">
        <v>67</v>
      </c>
      <c r="B75" s="80"/>
      <c r="C75" s="81">
        <f>0.02*1*3*'Мебельный щит'!C11+3*50*2+2*50+1*3*1600</f>
        <v>10840</v>
      </c>
    </row>
    <row r="76" spans="1:3" x14ac:dyDescent="0.2">
      <c r="A76" s="91" t="s">
        <v>68</v>
      </c>
      <c r="B76" s="12"/>
      <c r="C76" s="13" t="e">
        <f>0.029*1*2*'Мебельный щит'!C13+2*50*2+2*50+1*2*1600</f>
        <v>#REF!</v>
      </c>
    </row>
    <row r="77" spans="1:3" x14ac:dyDescent="0.2">
      <c r="A77" s="91" t="s">
        <v>69</v>
      </c>
      <c r="B77" s="12"/>
      <c r="C77" s="13" t="e">
        <f>0.029*1*2.5*'Мебельный щит'!C13+2.5*50*2+2*50+1*2.5*1600</f>
        <v>#REF!</v>
      </c>
    </row>
    <row r="78" spans="1:3" x14ac:dyDescent="0.2">
      <c r="A78" s="91" t="s">
        <v>70</v>
      </c>
      <c r="B78" s="12"/>
      <c r="C78" s="13" t="e">
        <f>0.029*1*3*'Мебельный щит'!C13+3*50*2+2*50+1*3*1600</f>
        <v>#REF!</v>
      </c>
    </row>
    <row r="79" spans="1:3" s="79" customFormat="1" x14ac:dyDescent="0.2">
      <c r="A79" s="87" t="s">
        <v>71</v>
      </c>
      <c r="B79" s="82"/>
      <c r="C79" s="81">
        <f>0.04*1*2*'Мебельный щит'!C16+2*50*2+2*50+1*2*1600</f>
        <v>11980</v>
      </c>
    </row>
    <row r="80" spans="1:3" x14ac:dyDescent="0.2">
      <c r="A80" s="87" t="s">
        <v>72</v>
      </c>
      <c r="B80" s="82"/>
      <c r="C80" s="81">
        <f>0.04*1*2.5*'Мебельный щит'!C16+2.5*50*2+2*50+1*2.5*1600</f>
        <v>14950</v>
      </c>
    </row>
    <row r="81" spans="1:3" ht="15.75" thickBot="1" x14ac:dyDescent="0.25">
      <c r="A81" s="88" t="s">
        <v>73</v>
      </c>
      <c r="B81" s="89"/>
      <c r="C81" s="90">
        <f>0.04*1*3*'Мебельный щит'!C16+3*50*2+2*50+1*3*1600</f>
        <v>17920</v>
      </c>
    </row>
    <row r="82" spans="1:3" ht="33" customHeight="1" x14ac:dyDescent="0.2">
      <c r="A82" s="152" t="s">
        <v>82</v>
      </c>
      <c r="B82" s="153"/>
      <c r="C82" s="67" t="s">
        <v>60</v>
      </c>
    </row>
    <row r="83" spans="1:3" s="79" customFormat="1" x14ac:dyDescent="0.2">
      <c r="A83" s="87" t="s">
        <v>77</v>
      </c>
      <c r="B83" s="82"/>
      <c r="C83" s="81">
        <f>0.65*1.6*'Мебельный щит'!C20+1.6*50</f>
        <v>238240</v>
      </c>
    </row>
    <row r="84" spans="1:3" s="79" customFormat="1" x14ac:dyDescent="0.2">
      <c r="A84" s="87" t="s">
        <v>76</v>
      </c>
      <c r="B84" s="82"/>
      <c r="C84" s="81">
        <f>0.65*1.8*'Мебельный щит'!C20+1.8*50</f>
        <v>268020.00000000006</v>
      </c>
    </row>
    <row r="85" spans="1:3" x14ac:dyDescent="0.2">
      <c r="A85" s="87" t="s">
        <v>74</v>
      </c>
      <c r="B85" s="82"/>
      <c r="C85" s="81">
        <f>0.65*2*'Мебельный щит'!C21+2*50</f>
        <v>352400</v>
      </c>
    </row>
    <row r="86" spans="1:3" s="79" customFormat="1" x14ac:dyDescent="0.2">
      <c r="A86" s="87" t="s">
        <v>78</v>
      </c>
      <c r="B86" s="82"/>
      <c r="C86" s="81">
        <f>0.65*2.2*'Мебельный щит'!C21+2.2*50</f>
        <v>387640.00000000006</v>
      </c>
    </row>
    <row r="87" spans="1:3" x14ac:dyDescent="0.2">
      <c r="A87" s="87" t="s">
        <v>75</v>
      </c>
      <c r="B87" s="82"/>
      <c r="C87" s="81">
        <f>0.65*2.5*'Мебельный щит'!C21+2.5*50</f>
        <v>440500</v>
      </c>
    </row>
    <row r="88" spans="1:3" s="79" customFormat="1" x14ac:dyDescent="0.2">
      <c r="A88" s="87" t="s">
        <v>79</v>
      </c>
      <c r="B88" s="82"/>
      <c r="C88" s="81">
        <f>1*1.6*'Мебельный щит'!C20+1.6*50*2+2*50</f>
        <v>366660</v>
      </c>
    </row>
    <row r="89" spans="1:3" s="79" customFormat="1" x14ac:dyDescent="0.2">
      <c r="A89" s="87" t="s">
        <v>80</v>
      </c>
      <c r="B89" s="82"/>
      <c r="C89" s="81">
        <f>1*1.8*'Мебельный щит'!C20+1.8*50*2+2*50</f>
        <v>412480</v>
      </c>
    </row>
    <row r="90" spans="1:3" x14ac:dyDescent="0.2">
      <c r="A90" s="87" t="s">
        <v>71</v>
      </c>
      <c r="B90" s="82"/>
      <c r="C90" s="81">
        <f>1*2*'Мебельный щит'!C21+2*50*2+2*50</f>
        <v>542300</v>
      </c>
    </row>
    <row r="91" spans="1:3" s="79" customFormat="1" x14ac:dyDescent="0.2">
      <c r="A91" s="87" t="s">
        <v>81</v>
      </c>
      <c r="B91" s="82"/>
      <c r="C91" s="81">
        <f>1*2.2*'Мебельный щит'!C21+2.2*50*2+2*50</f>
        <v>596520</v>
      </c>
    </row>
    <row r="92" spans="1:3" x14ac:dyDescent="0.2">
      <c r="A92" s="87" t="s">
        <v>72</v>
      </c>
      <c r="B92" s="82"/>
      <c r="C92" s="81">
        <f>1*2.5*'Мебельный щит'!C21+2.5*50*2+2*50</f>
        <v>677850</v>
      </c>
    </row>
    <row r="93" spans="1:3" ht="33" customHeight="1" x14ac:dyDescent="0.2">
      <c r="A93" s="152" t="s">
        <v>84</v>
      </c>
      <c r="B93" s="153"/>
      <c r="C93" s="67" t="s">
        <v>60</v>
      </c>
    </row>
    <row r="94" spans="1:3" s="79" customFormat="1" x14ac:dyDescent="0.2">
      <c r="A94" s="87" t="s">
        <v>77</v>
      </c>
      <c r="B94" s="82"/>
      <c r="C94" s="81" t="e">
        <f>0.65*1.6*'Мебельный щит'!#REF!+1.6*50</f>
        <v>#REF!</v>
      </c>
    </row>
    <row r="95" spans="1:3" s="79" customFormat="1" x14ac:dyDescent="0.2">
      <c r="A95" s="87" t="s">
        <v>76</v>
      </c>
      <c r="B95" s="82"/>
      <c r="C95" s="81" t="e">
        <f>0.65*1.8*'Мебельный щит'!#REF!+1.8*50</f>
        <v>#REF!</v>
      </c>
    </row>
    <row r="96" spans="1:3" x14ac:dyDescent="0.2">
      <c r="A96" s="87" t="s">
        <v>74</v>
      </c>
      <c r="B96" s="82"/>
      <c r="C96" s="81" t="e">
        <f>0.65*2*'Мебельный щит'!#REF!+2*50</f>
        <v>#REF!</v>
      </c>
    </row>
    <row r="97" spans="1:3" s="79" customFormat="1" x14ac:dyDescent="0.2">
      <c r="A97" s="87" t="s">
        <v>78</v>
      </c>
      <c r="B97" s="82"/>
      <c r="C97" s="81" t="e">
        <f>0.65*2.2*'Мебельный щит'!#REF!+2.2*50</f>
        <v>#REF!</v>
      </c>
    </row>
    <row r="98" spans="1:3" x14ac:dyDescent="0.2">
      <c r="A98" s="87" t="s">
        <v>75</v>
      </c>
      <c r="B98" s="82"/>
      <c r="C98" s="81" t="e">
        <f>0.65*2.5*'Мебельный щит'!#REF!+2.5*50</f>
        <v>#REF!</v>
      </c>
    </row>
    <row r="99" spans="1:3" s="79" customFormat="1" x14ac:dyDescent="0.2">
      <c r="A99" s="87" t="s">
        <v>79</v>
      </c>
      <c r="B99" s="82"/>
      <c r="C99" s="81" t="e">
        <f>1*1.6*'Мебельный щит'!#REF!+1.6*50*2+2*50</f>
        <v>#REF!</v>
      </c>
    </row>
    <row r="100" spans="1:3" s="79" customFormat="1" x14ac:dyDescent="0.2">
      <c r="A100" s="87" t="s">
        <v>80</v>
      </c>
      <c r="B100" s="82"/>
      <c r="C100" s="81" t="e">
        <f>1*1.8*'Мебельный щит'!#REF!+1.8*50*2+2*50</f>
        <v>#REF!</v>
      </c>
    </row>
    <row r="101" spans="1:3" x14ac:dyDescent="0.2">
      <c r="A101" s="87" t="s">
        <v>71</v>
      </c>
      <c r="B101" s="82"/>
      <c r="C101" s="81" t="e">
        <f>1*2*'Мебельный щит'!#REF!+2*50*2+2*50</f>
        <v>#REF!</v>
      </c>
    </row>
    <row r="102" spans="1:3" s="79" customFormat="1" x14ac:dyDescent="0.2">
      <c r="A102" s="87" t="s">
        <v>81</v>
      </c>
      <c r="B102" s="82"/>
      <c r="C102" s="81" t="e">
        <f>1*2.2*'Мебельный щит'!#REF!+2.2*50*2+2*50</f>
        <v>#REF!</v>
      </c>
    </row>
    <row r="103" spans="1:3" x14ac:dyDescent="0.2">
      <c r="A103" s="87" t="s">
        <v>72</v>
      </c>
      <c r="B103" s="82"/>
      <c r="C103" s="81" t="e">
        <f>1*2.5*'Мебельный щит'!#REF!+2.5*50*2+2*50</f>
        <v>#REF!</v>
      </c>
    </row>
    <row r="104" spans="1:3" ht="33" customHeight="1" x14ac:dyDescent="0.2">
      <c r="A104" s="152" t="s">
        <v>85</v>
      </c>
      <c r="B104" s="153"/>
      <c r="C104" s="67" t="s">
        <v>60</v>
      </c>
    </row>
    <row r="105" spans="1:3" s="79" customFormat="1" x14ac:dyDescent="0.2">
      <c r="A105" s="87" t="s">
        <v>77</v>
      </c>
      <c r="B105" s="82"/>
      <c r="C105" s="81" t="e">
        <f>0.65*1.6*'Мебельный щит'!#REF!+1.6*50</f>
        <v>#REF!</v>
      </c>
    </row>
    <row r="106" spans="1:3" s="79" customFormat="1" x14ac:dyDescent="0.2">
      <c r="A106" s="87" t="s">
        <v>76</v>
      </c>
      <c r="B106" s="82"/>
      <c r="C106" s="81" t="e">
        <f>0.65*1.8*'Мебельный щит'!#REF!+1.8*50</f>
        <v>#REF!</v>
      </c>
    </row>
    <row r="107" spans="1:3" x14ac:dyDescent="0.2">
      <c r="A107" s="87" t="s">
        <v>74</v>
      </c>
      <c r="B107" s="82"/>
      <c r="C107" s="81" t="e">
        <f>0.65*2*'Мебельный щит'!#REF!+2*50</f>
        <v>#REF!</v>
      </c>
    </row>
    <row r="108" spans="1:3" s="79" customFormat="1" x14ac:dyDescent="0.2">
      <c r="A108" s="87" t="s">
        <v>78</v>
      </c>
      <c r="B108" s="82"/>
      <c r="C108" s="81" t="e">
        <f>0.65*2.2*'Мебельный щит'!#REF!+2.2*50</f>
        <v>#REF!</v>
      </c>
    </row>
    <row r="109" spans="1:3" x14ac:dyDescent="0.2">
      <c r="A109" s="87" t="s">
        <v>75</v>
      </c>
      <c r="B109" s="82"/>
      <c r="C109" s="81" t="e">
        <f>0.65*2.5*'Мебельный щит'!#REF!+2.5*50</f>
        <v>#REF!</v>
      </c>
    </row>
    <row r="110" spans="1:3" s="79" customFormat="1" x14ac:dyDescent="0.2">
      <c r="A110" s="87" t="s">
        <v>79</v>
      </c>
      <c r="B110" s="82"/>
      <c r="C110" s="81" t="e">
        <f>1*1.6*'Мебельный щит'!#REF!+1.6*50*2+2*50</f>
        <v>#REF!</v>
      </c>
    </row>
    <row r="111" spans="1:3" s="79" customFormat="1" x14ac:dyDescent="0.2">
      <c r="A111" s="87" t="s">
        <v>80</v>
      </c>
      <c r="B111" s="82"/>
      <c r="C111" s="81" t="e">
        <f>1*1.8*'Мебельный щит'!#REF!+1.8*50*2+2*50</f>
        <v>#REF!</v>
      </c>
    </row>
    <row r="112" spans="1:3" x14ac:dyDescent="0.2">
      <c r="A112" s="87" t="s">
        <v>71</v>
      </c>
      <c r="B112" s="82"/>
      <c r="C112" s="81" t="e">
        <f>1*2*'Мебельный щит'!#REF!+2*50*2+2*50</f>
        <v>#REF!</v>
      </c>
    </row>
    <row r="113" spans="1:3" s="79" customFormat="1" x14ac:dyDescent="0.2">
      <c r="A113" s="87" t="s">
        <v>81</v>
      </c>
      <c r="B113" s="82"/>
      <c r="C113" s="81" t="e">
        <f>1*2.2*'Мебельный щит'!#REF!+2.2*50*2+2*50</f>
        <v>#REF!</v>
      </c>
    </row>
    <row r="114" spans="1:3" x14ac:dyDescent="0.2">
      <c r="A114" s="87" t="s">
        <v>72</v>
      </c>
      <c r="B114" s="82"/>
      <c r="C114" s="81" t="e">
        <f>1*2.5*'Мебельный щит'!#REF!+2.5*50*2+2*50</f>
        <v>#REF!</v>
      </c>
    </row>
    <row r="115" spans="1:3" ht="33" customHeight="1" x14ac:dyDescent="0.2">
      <c r="A115" s="152" t="s">
        <v>93</v>
      </c>
      <c r="B115" s="153"/>
      <c r="C115" s="67" t="str">
        <f t="shared" ref="C115:C137" si="0">C82</f>
        <v>Руб/шт</v>
      </c>
    </row>
    <row r="116" spans="1:3" s="79" customFormat="1" x14ac:dyDescent="0.2">
      <c r="A116" s="87" t="s">
        <v>77</v>
      </c>
      <c r="B116" s="82"/>
      <c r="C116" s="81">
        <f>C83+0.65*1.6*1600</f>
        <v>239904</v>
      </c>
    </row>
    <row r="117" spans="1:3" s="79" customFormat="1" x14ac:dyDescent="0.2">
      <c r="A117" s="87" t="s">
        <v>76</v>
      </c>
      <c r="B117" s="82"/>
      <c r="C117" s="81">
        <f>C84+0.65*1.8*1600</f>
        <v>269892.00000000006</v>
      </c>
    </row>
    <row r="118" spans="1:3" x14ac:dyDescent="0.2">
      <c r="A118" s="87" t="s">
        <v>74</v>
      </c>
      <c r="B118" s="82"/>
      <c r="C118" s="81">
        <f>C85+0.65*2*1600</f>
        <v>354480</v>
      </c>
    </row>
    <row r="119" spans="1:3" s="79" customFormat="1" x14ac:dyDescent="0.2">
      <c r="A119" s="87" t="s">
        <v>78</v>
      </c>
      <c r="B119" s="82"/>
      <c r="C119" s="81">
        <f>C86+0.65*2.2*1600</f>
        <v>389928.00000000006</v>
      </c>
    </row>
    <row r="120" spans="1:3" x14ac:dyDescent="0.2">
      <c r="A120" s="87" t="s">
        <v>75</v>
      </c>
      <c r="B120" s="82"/>
      <c r="C120" s="81">
        <f>C87+0.65*2.5*1600</f>
        <v>443100</v>
      </c>
    </row>
    <row r="121" spans="1:3" s="79" customFormat="1" x14ac:dyDescent="0.2">
      <c r="A121" s="87" t="s">
        <v>79</v>
      </c>
      <c r="B121" s="82"/>
      <c r="C121" s="81">
        <f>C88+0.65*1.6*1600</f>
        <v>368324</v>
      </c>
    </row>
    <row r="122" spans="1:3" s="79" customFormat="1" x14ac:dyDescent="0.2">
      <c r="A122" s="87" t="s">
        <v>80</v>
      </c>
      <c r="B122" s="82"/>
      <c r="C122" s="81">
        <f>C89+0.65*1.8*1600</f>
        <v>414352</v>
      </c>
    </row>
    <row r="123" spans="1:3" x14ac:dyDescent="0.2">
      <c r="A123" s="87" t="s">
        <v>71</v>
      </c>
      <c r="B123" s="82"/>
      <c r="C123" s="81">
        <f>C90+0.65*2*1600</f>
        <v>544380</v>
      </c>
    </row>
    <row r="124" spans="1:3" s="79" customFormat="1" x14ac:dyDescent="0.2">
      <c r="A124" s="87" t="s">
        <v>81</v>
      </c>
      <c r="B124" s="82"/>
      <c r="C124" s="81">
        <f>C91+0.65*2.2*1600</f>
        <v>598808</v>
      </c>
    </row>
    <row r="125" spans="1:3" x14ac:dyDescent="0.2">
      <c r="A125" s="87" t="s">
        <v>72</v>
      </c>
      <c r="B125" s="82"/>
      <c r="C125" s="81">
        <f>C92+0.65*2.5*1600</f>
        <v>680450</v>
      </c>
    </row>
    <row r="126" spans="1:3" ht="33" customHeight="1" x14ac:dyDescent="0.2">
      <c r="A126" s="152" t="s">
        <v>92</v>
      </c>
      <c r="B126" s="153"/>
      <c r="C126" s="67" t="str">
        <f t="shared" si="0"/>
        <v>Руб/шт</v>
      </c>
    </row>
    <row r="127" spans="1:3" s="79" customFormat="1" x14ac:dyDescent="0.2">
      <c r="A127" s="87" t="s">
        <v>77</v>
      </c>
      <c r="B127" s="82"/>
      <c r="C127" s="81" t="e">
        <f>C94+0.65*1.6*1600</f>
        <v>#REF!</v>
      </c>
    </row>
    <row r="128" spans="1:3" s="79" customFormat="1" x14ac:dyDescent="0.2">
      <c r="A128" s="87" t="s">
        <v>76</v>
      </c>
      <c r="B128" s="82"/>
      <c r="C128" s="81" t="e">
        <f>C95+0.65*1.8*1600</f>
        <v>#REF!</v>
      </c>
    </row>
    <row r="129" spans="1:3" x14ac:dyDescent="0.2">
      <c r="A129" s="87" t="s">
        <v>74</v>
      </c>
      <c r="B129" s="82"/>
      <c r="C129" s="81" t="e">
        <f>C96+0.65*2*1600</f>
        <v>#REF!</v>
      </c>
    </row>
    <row r="130" spans="1:3" s="79" customFormat="1" x14ac:dyDescent="0.2">
      <c r="A130" s="87" t="s">
        <v>78</v>
      </c>
      <c r="B130" s="82"/>
      <c r="C130" s="81" t="e">
        <f>C97+0.65*2.2*1600</f>
        <v>#REF!</v>
      </c>
    </row>
    <row r="131" spans="1:3" x14ac:dyDescent="0.2">
      <c r="A131" s="87" t="s">
        <v>75</v>
      </c>
      <c r="B131" s="82"/>
      <c r="C131" s="81" t="e">
        <f>C98+0.65*2.5*1600</f>
        <v>#REF!</v>
      </c>
    </row>
    <row r="132" spans="1:3" s="79" customFormat="1" x14ac:dyDescent="0.2">
      <c r="A132" s="87" t="s">
        <v>79</v>
      </c>
      <c r="B132" s="82"/>
      <c r="C132" s="81" t="e">
        <f>C99+0.65*1.6*1600</f>
        <v>#REF!</v>
      </c>
    </row>
    <row r="133" spans="1:3" s="79" customFormat="1" x14ac:dyDescent="0.2">
      <c r="A133" s="87" t="s">
        <v>80</v>
      </c>
      <c r="B133" s="82"/>
      <c r="C133" s="81" t="e">
        <f>C100+0.65*1.8*1600</f>
        <v>#REF!</v>
      </c>
    </row>
    <row r="134" spans="1:3" x14ac:dyDescent="0.2">
      <c r="A134" s="87" t="s">
        <v>71</v>
      </c>
      <c r="B134" s="82"/>
      <c r="C134" s="81" t="e">
        <f>C101+0.65*2*1600</f>
        <v>#REF!</v>
      </c>
    </row>
    <row r="135" spans="1:3" s="79" customFormat="1" x14ac:dyDescent="0.2">
      <c r="A135" s="87" t="s">
        <v>81</v>
      </c>
      <c r="B135" s="82"/>
      <c r="C135" s="81" t="e">
        <f>C102+0.65*2.2*1600</f>
        <v>#REF!</v>
      </c>
    </row>
    <row r="136" spans="1:3" x14ac:dyDescent="0.2">
      <c r="A136" s="87" t="s">
        <v>72</v>
      </c>
      <c r="B136" s="82"/>
      <c r="C136" s="81" t="e">
        <f>C103+0.65*2.5*1600</f>
        <v>#REF!</v>
      </c>
    </row>
    <row r="137" spans="1:3" ht="33" customHeight="1" x14ac:dyDescent="0.2">
      <c r="A137" s="152" t="s">
        <v>91</v>
      </c>
      <c r="B137" s="153"/>
      <c r="C137" s="67" t="str">
        <f t="shared" si="0"/>
        <v>Руб/шт</v>
      </c>
    </row>
    <row r="138" spans="1:3" s="79" customFormat="1" x14ac:dyDescent="0.2">
      <c r="A138" s="87" t="s">
        <v>77</v>
      </c>
      <c r="B138" s="82"/>
      <c r="C138" s="81" t="e">
        <f>C105+0.65*1.6*1600</f>
        <v>#REF!</v>
      </c>
    </row>
    <row r="139" spans="1:3" s="79" customFormat="1" x14ac:dyDescent="0.2">
      <c r="A139" s="87" t="s">
        <v>76</v>
      </c>
      <c r="B139" s="82"/>
      <c r="C139" s="81" t="e">
        <f>C106+0.65*1.8*1600</f>
        <v>#REF!</v>
      </c>
    </row>
    <row r="140" spans="1:3" x14ac:dyDescent="0.2">
      <c r="A140" s="87" t="s">
        <v>74</v>
      </c>
      <c r="B140" s="82"/>
      <c r="C140" s="81" t="e">
        <f>C107+0.65*2*1600</f>
        <v>#REF!</v>
      </c>
    </row>
    <row r="141" spans="1:3" s="79" customFormat="1" x14ac:dyDescent="0.2">
      <c r="A141" s="87" t="s">
        <v>78</v>
      </c>
      <c r="B141" s="82"/>
      <c r="C141" s="81" t="e">
        <f>C108+0.65*2.2*1600</f>
        <v>#REF!</v>
      </c>
    </row>
    <row r="142" spans="1:3" x14ac:dyDescent="0.2">
      <c r="A142" s="87" t="s">
        <v>75</v>
      </c>
      <c r="B142" s="82"/>
      <c r="C142" s="81" t="e">
        <f>C109+0.65*2.5*1600</f>
        <v>#REF!</v>
      </c>
    </row>
    <row r="143" spans="1:3" s="79" customFormat="1" x14ac:dyDescent="0.2">
      <c r="A143" s="87" t="s">
        <v>79</v>
      </c>
      <c r="B143" s="82"/>
      <c r="C143" s="81" t="e">
        <f>C110+0.65*1.6*1600</f>
        <v>#REF!</v>
      </c>
    </row>
    <row r="144" spans="1:3" s="79" customFormat="1" x14ac:dyDescent="0.2">
      <c r="A144" s="87" t="s">
        <v>80</v>
      </c>
      <c r="B144" s="82"/>
      <c r="C144" s="81" t="e">
        <f>C111+0.65*1.8*1600</f>
        <v>#REF!</v>
      </c>
    </row>
    <row r="145" spans="1:4" x14ac:dyDescent="0.2">
      <c r="A145" s="87" t="s">
        <v>71</v>
      </c>
      <c r="B145" s="82"/>
      <c r="C145" s="81" t="e">
        <f>C112+0.65*2*1600</f>
        <v>#REF!</v>
      </c>
    </row>
    <row r="146" spans="1:4" s="79" customFormat="1" x14ac:dyDescent="0.2">
      <c r="A146" s="87" t="s">
        <v>81</v>
      </c>
      <c r="B146" s="82"/>
      <c r="C146" s="81" t="e">
        <f>C113+0.65*2.2*1600</f>
        <v>#REF!</v>
      </c>
    </row>
    <row r="147" spans="1:4" x14ac:dyDescent="0.2">
      <c r="A147" s="87" t="s">
        <v>72</v>
      </c>
      <c r="B147" s="82"/>
      <c r="C147" s="81" t="e">
        <f>C114+0.65*2.5*1600</f>
        <v>#REF!</v>
      </c>
    </row>
    <row r="148" spans="1:4" ht="35.450000000000003" customHeight="1" x14ac:dyDescent="0.2">
      <c r="A148" s="156" t="s">
        <v>86</v>
      </c>
      <c r="B148" s="157"/>
      <c r="C148" s="10" t="s">
        <v>7</v>
      </c>
    </row>
    <row r="149" spans="1:4" ht="30.75" x14ac:dyDescent="0.2">
      <c r="A149" s="8" t="s">
        <v>14</v>
      </c>
      <c r="B149" s="158"/>
      <c r="C149" s="28">
        <v>7120</v>
      </c>
      <c r="D149" s="9"/>
    </row>
    <row r="150" spans="1:4" ht="30.75" x14ac:dyDescent="0.2">
      <c r="A150" s="8" t="s">
        <v>15</v>
      </c>
      <c r="B150" s="158"/>
      <c r="C150" s="28">
        <v>9520</v>
      </c>
      <c r="D150" s="9"/>
    </row>
    <row r="151" spans="1:4" ht="30.75" x14ac:dyDescent="0.2">
      <c r="A151" s="8" t="s">
        <v>16</v>
      </c>
      <c r="B151" s="158"/>
      <c r="C151" s="28">
        <v>12480</v>
      </c>
      <c r="D151" s="9"/>
    </row>
    <row r="152" spans="1:4" ht="30.75" x14ac:dyDescent="0.2">
      <c r="A152" s="8" t="s">
        <v>17</v>
      </c>
      <c r="B152" s="158"/>
      <c r="C152" s="28">
        <v>13728.000000000002</v>
      </c>
      <c r="D152" s="9"/>
    </row>
    <row r="153" spans="1:4" ht="30.75" x14ac:dyDescent="0.2">
      <c r="A153" s="8" t="s">
        <v>18</v>
      </c>
      <c r="B153" s="158"/>
      <c r="C153" s="28">
        <v>14976.000000000002</v>
      </c>
      <c r="D153" s="9"/>
    </row>
    <row r="154" spans="1:4" ht="30.75" x14ac:dyDescent="0.2">
      <c r="A154" s="8" t="s">
        <v>19</v>
      </c>
      <c r="B154" s="158"/>
      <c r="C154" s="28">
        <v>16224</v>
      </c>
      <c r="D154" s="9"/>
    </row>
    <row r="155" spans="1:4" ht="30.75" x14ac:dyDescent="0.2">
      <c r="A155" s="8" t="s">
        <v>20</v>
      </c>
      <c r="B155" s="158"/>
      <c r="C155" s="28">
        <v>17472</v>
      </c>
      <c r="D155" s="9"/>
    </row>
    <row r="156" spans="1:4" ht="30.75" x14ac:dyDescent="0.2">
      <c r="A156" s="8" t="s">
        <v>21</v>
      </c>
      <c r="B156" s="158"/>
      <c r="C156" s="28">
        <v>18720</v>
      </c>
      <c r="D156" s="9"/>
    </row>
    <row r="157" spans="1:4" ht="35.450000000000003" customHeight="1" x14ac:dyDescent="0.2">
      <c r="A157" s="156" t="s">
        <v>87</v>
      </c>
      <c r="B157" s="157"/>
      <c r="C157" s="10" t="s">
        <v>7</v>
      </c>
    </row>
    <row r="158" spans="1:4" ht="30.75" x14ac:dyDescent="0.2">
      <c r="A158" s="92" t="s">
        <v>14</v>
      </c>
      <c r="B158" s="158"/>
      <c r="C158" s="94">
        <f>C149+0.8*1.6*1600</f>
        <v>9168</v>
      </c>
    </row>
    <row r="159" spans="1:4" ht="30.75" x14ac:dyDescent="0.2">
      <c r="A159" s="92" t="s">
        <v>15</v>
      </c>
      <c r="B159" s="158"/>
      <c r="C159" s="94">
        <f>C150+0.9*1.8*1600</f>
        <v>12112</v>
      </c>
    </row>
    <row r="160" spans="1:4" ht="30.75" x14ac:dyDescent="0.2">
      <c r="A160" s="92" t="s">
        <v>16</v>
      </c>
      <c r="B160" s="158"/>
      <c r="C160" s="94">
        <f>C151+1*2*1600</f>
        <v>15680</v>
      </c>
    </row>
    <row r="161" spans="1:3" ht="30.75" x14ac:dyDescent="0.2">
      <c r="A161" s="92" t="s">
        <v>17</v>
      </c>
      <c r="B161" s="158"/>
      <c r="C161" s="94">
        <f>C152+1*2.2*1600</f>
        <v>17248.000000000004</v>
      </c>
    </row>
    <row r="162" spans="1:3" ht="30.75" x14ac:dyDescent="0.2">
      <c r="A162" s="92" t="s">
        <v>18</v>
      </c>
      <c r="B162" s="158"/>
      <c r="C162" s="94">
        <f>C153+1*2.4*1600</f>
        <v>18816</v>
      </c>
    </row>
    <row r="163" spans="1:3" ht="30.75" x14ac:dyDescent="0.2">
      <c r="A163" s="92" t="s">
        <v>19</v>
      </c>
      <c r="B163" s="158"/>
      <c r="C163" s="94">
        <f>C154+1*2.6*1600</f>
        <v>20384</v>
      </c>
    </row>
    <row r="164" spans="1:3" ht="30.75" x14ac:dyDescent="0.2">
      <c r="A164" s="92" t="s">
        <v>20</v>
      </c>
      <c r="B164" s="158"/>
      <c r="C164" s="94">
        <f>C155+1*2.8*1600</f>
        <v>21952</v>
      </c>
    </row>
    <row r="165" spans="1:3" ht="30.75" x14ac:dyDescent="0.2">
      <c r="A165" s="92" t="s">
        <v>21</v>
      </c>
      <c r="B165" s="158"/>
      <c r="C165" s="94">
        <f>C156+1*3*1600</f>
        <v>23520</v>
      </c>
    </row>
    <row r="166" spans="1:3" x14ac:dyDescent="0.2">
      <c r="A166" s="93" t="s">
        <v>51</v>
      </c>
    </row>
    <row r="167" spans="1:3" ht="27.75" x14ac:dyDescent="0.2">
      <c r="A167" s="77" t="s">
        <v>52</v>
      </c>
      <c r="B167" s="76" t="s">
        <v>50</v>
      </c>
    </row>
    <row r="168" spans="1:3" x14ac:dyDescent="0.2">
      <c r="B168" s="78" t="s">
        <v>53</v>
      </c>
    </row>
    <row r="171" spans="1:3" x14ac:dyDescent="0.2">
      <c r="A171" t="s">
        <v>61</v>
      </c>
    </row>
  </sheetData>
  <sheetProtection sheet="1" objects="1" scenarios="1"/>
  <mergeCells count="15">
    <mergeCell ref="A82:B82"/>
    <mergeCell ref="A25:B25"/>
    <mergeCell ref="A44:B44"/>
    <mergeCell ref="A63:B63"/>
    <mergeCell ref="A2:A3"/>
    <mergeCell ref="A6:B6"/>
    <mergeCell ref="A157:B157"/>
    <mergeCell ref="B158:B165"/>
    <mergeCell ref="A93:B93"/>
    <mergeCell ref="A104:B104"/>
    <mergeCell ref="A115:B115"/>
    <mergeCell ref="A126:B126"/>
    <mergeCell ref="A137:B137"/>
    <mergeCell ref="A148:B148"/>
    <mergeCell ref="B149:B156"/>
  </mergeCells>
  <phoneticPr fontId="3" type="noConversion"/>
  <pageMargins left="0.25" right="0.25" top="0.75" bottom="0.75" header="0.3" footer="0.3"/>
  <pageSetup paperSize="9" scale="9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8556E-F02F-41F6-9994-BD72F7D5F329}">
  <sheetPr>
    <tabColor rgb="FF7030A0"/>
    <pageSetUpPr fitToPage="1"/>
  </sheetPr>
  <dimension ref="A1:C60"/>
  <sheetViews>
    <sheetView tabSelected="1" topLeftCell="B1" zoomScale="110" zoomScaleNormal="110" workbookViewId="0">
      <selection activeCell="E37" sqref="E37"/>
    </sheetView>
  </sheetViews>
  <sheetFormatPr defaultRowHeight="15" x14ac:dyDescent="0.2"/>
  <cols>
    <col min="1" max="1" width="28.11328125" customWidth="1"/>
    <col min="2" max="2" width="50.04296875" customWidth="1"/>
    <col min="3" max="3" width="9.68359375" customWidth="1"/>
  </cols>
  <sheetData>
    <row r="1" spans="1:3" s="1" customFormat="1" ht="143.44999999999999" customHeight="1" thickBot="1" x14ac:dyDescent="0.25">
      <c r="A1" s="2"/>
      <c r="B1" s="3"/>
      <c r="C1" s="4"/>
    </row>
    <row r="2" spans="1:3" s="1" customFormat="1" ht="24" customHeight="1" x14ac:dyDescent="0.2">
      <c r="A2" s="154"/>
      <c r="B2" s="24" t="s">
        <v>2</v>
      </c>
      <c r="C2" s="23"/>
    </row>
    <row r="3" spans="1:3" s="1" customFormat="1" ht="25.15" customHeight="1" x14ac:dyDescent="0.2">
      <c r="A3" s="155"/>
      <c r="B3" s="64" t="s">
        <v>30</v>
      </c>
      <c r="C3" s="21"/>
    </row>
    <row r="4" spans="1:3" s="1" customFormat="1" ht="25.9" customHeight="1" x14ac:dyDescent="0.2">
      <c r="A4" s="25" t="s">
        <v>1</v>
      </c>
      <c r="B4" s="26" t="s">
        <v>3</v>
      </c>
      <c r="C4" s="5"/>
    </row>
    <row r="5" spans="1:3" s="1" customFormat="1" ht="27.6" customHeight="1" thickBot="1" x14ac:dyDescent="0.25">
      <c r="A5" s="25" t="s">
        <v>0</v>
      </c>
      <c r="B5" s="27" t="s">
        <v>4</v>
      </c>
      <c r="C5" s="22"/>
    </row>
    <row r="6" spans="1:3" ht="25.15" customHeight="1" x14ac:dyDescent="0.2">
      <c r="A6" s="162" t="s">
        <v>5</v>
      </c>
      <c r="B6" s="163"/>
      <c r="C6" s="20" t="s">
        <v>8</v>
      </c>
    </row>
    <row r="7" spans="1:3" ht="25.15" customHeight="1" x14ac:dyDescent="0.2">
      <c r="A7" s="16" t="s">
        <v>124</v>
      </c>
      <c r="B7" s="126"/>
      <c r="C7" s="133">
        <v>200000</v>
      </c>
    </row>
    <row r="8" spans="1:3" ht="17.25" x14ac:dyDescent="0.2">
      <c r="A8" s="11" t="s">
        <v>11</v>
      </c>
      <c r="B8" s="12"/>
      <c r="C8" s="125">
        <v>140000</v>
      </c>
    </row>
    <row r="9" spans="1:3" ht="30.75" x14ac:dyDescent="0.2">
      <c r="A9" s="16" t="s">
        <v>9</v>
      </c>
      <c r="B9" s="17"/>
      <c r="C9" s="124">
        <v>165000</v>
      </c>
    </row>
    <row r="10" spans="1:3" ht="17.25" x14ac:dyDescent="0.2">
      <c r="A10" s="135" t="s">
        <v>131</v>
      </c>
      <c r="B10" s="17"/>
      <c r="C10" s="136">
        <v>147000</v>
      </c>
    </row>
    <row r="11" spans="1:3" ht="17.25" x14ac:dyDescent="0.2">
      <c r="A11" s="11" t="s">
        <v>11</v>
      </c>
      <c r="B11" s="12"/>
      <c r="C11" s="125">
        <v>94000</v>
      </c>
    </row>
    <row r="12" spans="1:3" hidden="1" x14ac:dyDescent="0.2">
      <c r="A12" s="16" t="s">
        <v>10</v>
      </c>
      <c r="B12" s="17"/>
      <c r="C12" s="133" t="e">
        <f>ROUND(#REF!*#REF!,-3)</f>
        <v>#REF!</v>
      </c>
    </row>
    <row r="13" spans="1:3" hidden="1" x14ac:dyDescent="0.2">
      <c r="A13" s="11" t="s">
        <v>12</v>
      </c>
      <c r="B13" s="12"/>
      <c r="C13" s="125" t="e">
        <f>ROUND(#REF!*#REF!,-3)</f>
        <v>#REF!</v>
      </c>
    </row>
    <row r="14" spans="1:3" ht="30.75" x14ac:dyDescent="0.2">
      <c r="A14" s="16" t="s">
        <v>13</v>
      </c>
      <c r="B14" s="19"/>
      <c r="C14" s="133">
        <v>176000</v>
      </c>
    </row>
    <row r="15" spans="1:3" ht="17.25" x14ac:dyDescent="0.2">
      <c r="A15" s="135" t="s">
        <v>131</v>
      </c>
      <c r="B15" s="134"/>
      <c r="C15" s="136">
        <v>159000</v>
      </c>
    </row>
    <row r="16" spans="1:3" ht="17.25" x14ac:dyDescent="0.2">
      <c r="A16" s="14" t="s">
        <v>12</v>
      </c>
      <c r="B16" s="15"/>
      <c r="C16" s="125">
        <v>106000</v>
      </c>
    </row>
    <row r="17" spans="1:3" ht="33" customHeight="1" x14ac:dyDescent="0.2">
      <c r="A17" s="156" t="s">
        <v>6</v>
      </c>
      <c r="B17" s="157"/>
      <c r="C17" s="10" t="s">
        <v>8</v>
      </c>
    </row>
    <row r="18" spans="1:3" ht="14.45" customHeight="1" x14ac:dyDescent="0.2">
      <c r="A18" s="127" t="s">
        <v>146</v>
      </c>
      <c r="B18" s="144"/>
      <c r="C18" s="145">
        <v>170000</v>
      </c>
    </row>
    <row r="19" spans="1:3" ht="17.25" x14ac:dyDescent="0.2">
      <c r="A19" s="127" t="s">
        <v>130</v>
      </c>
      <c r="B19" s="164"/>
      <c r="C19" s="128">
        <v>188000</v>
      </c>
    </row>
    <row r="20" spans="1:3" ht="17.25" x14ac:dyDescent="0.2">
      <c r="A20" s="127" t="s">
        <v>129</v>
      </c>
      <c r="B20" s="164"/>
      <c r="C20" s="128">
        <v>229000</v>
      </c>
    </row>
    <row r="21" spans="1:3" ht="17.25" x14ac:dyDescent="0.2">
      <c r="A21" s="127" t="s">
        <v>132</v>
      </c>
      <c r="B21" s="164"/>
      <c r="C21" s="128">
        <v>271000</v>
      </c>
    </row>
    <row r="22" spans="1:3" ht="17.25" x14ac:dyDescent="0.2">
      <c r="A22" s="29" t="s">
        <v>133</v>
      </c>
      <c r="B22" s="164"/>
      <c r="C22" s="124">
        <f>C19+5000</f>
        <v>193000</v>
      </c>
    </row>
    <row r="23" spans="1:3" ht="17.25" x14ac:dyDescent="0.2">
      <c r="A23" s="29" t="s">
        <v>134</v>
      </c>
      <c r="B23" s="164"/>
      <c r="C23" s="124">
        <f t="shared" ref="C23:C24" si="0">C20+5000</f>
        <v>234000</v>
      </c>
    </row>
    <row r="24" spans="1:3" ht="17.25" x14ac:dyDescent="0.2">
      <c r="A24" s="29" t="s">
        <v>135</v>
      </c>
      <c r="B24" s="164"/>
      <c r="C24" s="124">
        <f t="shared" si="0"/>
        <v>276000</v>
      </c>
    </row>
    <row r="25" spans="1:3" ht="17.25" x14ac:dyDescent="0.2">
      <c r="A25" s="137" t="s">
        <v>147</v>
      </c>
      <c r="B25" s="143"/>
      <c r="C25" s="139">
        <v>150000</v>
      </c>
    </row>
    <row r="26" spans="1:3" ht="17.25" x14ac:dyDescent="0.2">
      <c r="A26" s="137" t="s">
        <v>140</v>
      </c>
      <c r="B26" s="138"/>
      <c r="C26" s="139">
        <v>176000</v>
      </c>
    </row>
    <row r="27" spans="1:3" ht="17.25" x14ac:dyDescent="0.2">
      <c r="A27" s="137" t="s">
        <v>141</v>
      </c>
      <c r="B27" s="138"/>
      <c r="C27" s="139">
        <v>200000</v>
      </c>
    </row>
    <row r="28" spans="1:3" ht="17.25" x14ac:dyDescent="0.2">
      <c r="A28" s="137" t="s">
        <v>142</v>
      </c>
      <c r="B28" s="138"/>
      <c r="C28" s="139">
        <v>247000</v>
      </c>
    </row>
    <row r="29" spans="1:3" ht="17.25" x14ac:dyDescent="0.2">
      <c r="A29" s="140" t="s">
        <v>143</v>
      </c>
      <c r="B29" s="141"/>
      <c r="C29" s="142">
        <f>C26+5000</f>
        <v>181000</v>
      </c>
    </row>
    <row r="30" spans="1:3" ht="17.25" x14ac:dyDescent="0.2">
      <c r="A30" s="140" t="s">
        <v>144</v>
      </c>
      <c r="B30" s="141"/>
      <c r="C30" s="142">
        <f t="shared" ref="C30:C31" si="1">C27+5000</f>
        <v>205000</v>
      </c>
    </row>
    <row r="31" spans="1:3" ht="17.25" x14ac:dyDescent="0.2">
      <c r="A31" s="140" t="s">
        <v>145</v>
      </c>
      <c r="B31" s="141"/>
      <c r="C31" s="142">
        <f t="shared" si="1"/>
        <v>252000</v>
      </c>
    </row>
    <row r="32" spans="1:3" ht="17.25" x14ac:dyDescent="0.2">
      <c r="A32" s="129" t="s">
        <v>128</v>
      </c>
      <c r="B32" s="164"/>
      <c r="C32" s="130">
        <v>147000</v>
      </c>
    </row>
    <row r="33" spans="1:3" ht="17.25" x14ac:dyDescent="0.2">
      <c r="A33" s="129" t="s">
        <v>127</v>
      </c>
      <c r="B33" s="164"/>
      <c r="C33" s="130">
        <v>176000</v>
      </c>
    </row>
    <row r="34" spans="1:3" ht="17.25" x14ac:dyDescent="0.2">
      <c r="A34" s="129" t="s">
        <v>136</v>
      </c>
      <c r="B34" s="164"/>
      <c r="C34" s="130">
        <v>200000</v>
      </c>
    </row>
    <row r="35" spans="1:3" ht="17.25" x14ac:dyDescent="0.2">
      <c r="A35" s="131" t="s">
        <v>137</v>
      </c>
      <c r="B35" s="164"/>
      <c r="C35" s="132">
        <f>C32+5000</f>
        <v>152000</v>
      </c>
    </row>
    <row r="36" spans="1:3" ht="17.25" x14ac:dyDescent="0.2">
      <c r="A36" s="131" t="s">
        <v>138</v>
      </c>
      <c r="B36" s="164"/>
      <c r="C36" s="132">
        <f t="shared" ref="C36:C37" si="2">C33+5000</f>
        <v>181000</v>
      </c>
    </row>
    <row r="37" spans="1:3" ht="17.25" x14ac:dyDescent="0.2">
      <c r="A37" s="131" t="s">
        <v>139</v>
      </c>
      <c r="B37" s="164"/>
      <c r="C37" s="132">
        <f t="shared" si="2"/>
        <v>205000</v>
      </c>
    </row>
    <row r="38" spans="1:3" ht="35.450000000000003" customHeight="1" x14ac:dyDescent="0.2">
      <c r="A38" s="156" t="s">
        <v>152</v>
      </c>
      <c r="B38" s="157"/>
      <c r="C38" s="10" t="s">
        <v>7</v>
      </c>
    </row>
    <row r="39" spans="1:3" ht="30.75" x14ac:dyDescent="0.2">
      <c r="A39" s="8" t="s">
        <v>14</v>
      </c>
      <c r="B39" s="158"/>
      <c r="C39" s="123">
        <v>10900</v>
      </c>
    </row>
    <row r="40" spans="1:3" ht="30.75" x14ac:dyDescent="0.2">
      <c r="A40" s="8" t="s">
        <v>126</v>
      </c>
      <c r="B40" s="158"/>
      <c r="C40" s="123">
        <v>13600</v>
      </c>
    </row>
    <row r="41" spans="1:3" ht="30.75" x14ac:dyDescent="0.2">
      <c r="A41" s="8" t="s">
        <v>15</v>
      </c>
      <c r="B41" s="158"/>
      <c r="C41" s="123">
        <v>12300</v>
      </c>
    </row>
    <row r="42" spans="1:3" ht="30.75" x14ac:dyDescent="0.2">
      <c r="A42" s="8" t="s">
        <v>125</v>
      </c>
      <c r="B42" s="158"/>
      <c r="C42" s="123">
        <v>15300</v>
      </c>
    </row>
    <row r="43" spans="1:3" ht="30.75" x14ac:dyDescent="0.2">
      <c r="A43" s="8" t="s">
        <v>16</v>
      </c>
      <c r="B43" s="158"/>
      <c r="C43" s="123">
        <v>17500</v>
      </c>
    </row>
    <row r="44" spans="1:3" ht="30.75" x14ac:dyDescent="0.2">
      <c r="A44" s="8" t="s">
        <v>17</v>
      </c>
      <c r="B44" s="158"/>
      <c r="C44" s="123">
        <v>19200</v>
      </c>
    </row>
    <row r="45" spans="1:3" ht="30.75" x14ac:dyDescent="0.2">
      <c r="A45" s="8" t="s">
        <v>18</v>
      </c>
      <c r="B45" s="158"/>
      <c r="C45" s="123">
        <v>21000</v>
      </c>
    </row>
    <row r="46" spans="1:3" ht="30.75" x14ac:dyDescent="0.2">
      <c r="A46" s="8" t="s">
        <v>19</v>
      </c>
      <c r="B46" s="158"/>
      <c r="C46" s="123">
        <v>22700</v>
      </c>
    </row>
    <row r="47" spans="1:3" ht="30.75" x14ac:dyDescent="0.2">
      <c r="A47" s="8" t="s">
        <v>20</v>
      </c>
      <c r="B47" s="158"/>
      <c r="C47" s="123">
        <v>24400</v>
      </c>
    </row>
    <row r="48" spans="1:3" ht="30.75" x14ac:dyDescent="0.2">
      <c r="A48" s="8" t="s">
        <v>21</v>
      </c>
      <c r="B48" s="158"/>
      <c r="C48" s="123">
        <v>26200</v>
      </c>
    </row>
    <row r="49" spans="1:3" ht="49.15" customHeight="1" x14ac:dyDescent="0.2">
      <c r="A49" s="159" t="s">
        <v>148</v>
      </c>
      <c r="B49" s="160"/>
      <c r="C49" s="146" t="s">
        <v>8</v>
      </c>
    </row>
    <row r="50" spans="1:3" ht="28.9" customHeight="1" x14ac:dyDescent="0.2">
      <c r="A50" s="92" t="s">
        <v>149</v>
      </c>
      <c r="B50" s="7"/>
      <c r="C50" s="147">
        <v>70000</v>
      </c>
    </row>
    <row r="51" spans="1:3" ht="30.75" x14ac:dyDescent="0.2">
      <c r="A51" s="92" t="s">
        <v>150</v>
      </c>
      <c r="C51" s="147">
        <v>80000</v>
      </c>
    </row>
    <row r="52" spans="1:3" ht="30.75" x14ac:dyDescent="0.2">
      <c r="A52" s="92" t="s">
        <v>151</v>
      </c>
      <c r="B52" s="7"/>
      <c r="C52" s="147">
        <v>130000</v>
      </c>
    </row>
    <row r="53" spans="1:3" ht="49.15" customHeight="1" x14ac:dyDescent="0.2">
      <c r="A53" s="161" t="s">
        <v>159</v>
      </c>
      <c r="B53" s="161"/>
      <c r="C53" s="148" t="s">
        <v>8</v>
      </c>
    </row>
    <row r="54" spans="1:3" ht="31.9" customHeight="1" x14ac:dyDescent="0.2">
      <c r="A54" s="92" t="s">
        <v>157</v>
      </c>
      <c r="B54" s="148"/>
      <c r="C54" s="149">
        <v>147000</v>
      </c>
    </row>
    <row r="55" spans="1:3" ht="31.9" customHeight="1" x14ac:dyDescent="0.2">
      <c r="A55" s="92" t="s">
        <v>156</v>
      </c>
      <c r="B55" s="148"/>
      <c r="C55" s="149">
        <v>132000</v>
      </c>
    </row>
    <row r="56" spans="1:3" ht="33.6" customHeight="1" x14ac:dyDescent="0.2">
      <c r="A56" s="92" t="s">
        <v>158</v>
      </c>
      <c r="B56" s="7"/>
      <c r="C56" s="149">
        <v>106000</v>
      </c>
    </row>
    <row r="57" spans="1:3" ht="49.15" customHeight="1" x14ac:dyDescent="0.2">
      <c r="A57" s="159" t="s">
        <v>153</v>
      </c>
      <c r="B57" s="160"/>
      <c r="C57" s="146" t="s">
        <v>8</v>
      </c>
    </row>
    <row r="58" spans="1:3" ht="28.9" customHeight="1" x14ac:dyDescent="0.2">
      <c r="A58" s="92" t="s">
        <v>155</v>
      </c>
      <c r="B58" s="7"/>
      <c r="C58" s="147">
        <v>46000</v>
      </c>
    </row>
    <row r="59" spans="1:3" ht="30.75" x14ac:dyDescent="0.2">
      <c r="A59" s="92" t="s">
        <v>154</v>
      </c>
      <c r="C59" s="147">
        <v>41300</v>
      </c>
    </row>
    <row r="60" spans="1:3" ht="30.75" x14ac:dyDescent="0.2">
      <c r="A60" s="92" t="s">
        <v>154</v>
      </c>
      <c r="B60" s="7"/>
      <c r="C60" s="147">
        <v>30700</v>
      </c>
    </row>
  </sheetData>
  <sheetProtection sheet="1" objects="1" scenarios="1"/>
  <mergeCells count="10">
    <mergeCell ref="A2:A3"/>
    <mergeCell ref="A6:B6"/>
    <mergeCell ref="A17:B17"/>
    <mergeCell ref="B19:B24"/>
    <mergeCell ref="B32:B37"/>
    <mergeCell ref="A57:B57"/>
    <mergeCell ref="A53:B53"/>
    <mergeCell ref="A38:B38"/>
    <mergeCell ref="B39:B48"/>
    <mergeCell ref="A49:B49"/>
  </mergeCells>
  <phoneticPr fontId="3" type="noConversion"/>
  <pageMargins left="0.25" right="0.25" top="0.75" bottom="0.75" header="0.3" footer="0.3"/>
  <pageSetup paperSize="9" scale="9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8372-5700-614E-A813-383CA260435A}">
  <dimension ref="A1"/>
  <sheetViews>
    <sheetView zoomScaleNormal="60" zoomScaleSheetLayoutView="100" workbookViewId="0">
      <selection activeCell="F16" sqref="F16"/>
    </sheetView>
  </sheetViews>
  <sheetFormatPr defaultRowHeight="1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CE5D-E2D1-4B7C-A574-EEB49CB24625}">
  <sheetPr>
    <tabColor rgb="FFFFC000"/>
  </sheetPr>
  <dimension ref="A1:G8"/>
  <sheetViews>
    <sheetView zoomScaleNormal="100" workbookViewId="0">
      <selection activeCell="G8" sqref="C7:G8"/>
    </sheetView>
  </sheetViews>
  <sheetFormatPr defaultRowHeight="15" x14ac:dyDescent="0.2"/>
  <cols>
    <col min="1" max="1" width="25.55859375" customWidth="1"/>
    <col min="2" max="2" width="50.04296875" customWidth="1"/>
    <col min="3" max="3" width="7.6640625" customWidth="1"/>
    <col min="4" max="4" width="7.3984375" customWidth="1"/>
    <col min="5" max="5" width="7.26171875" customWidth="1"/>
    <col min="6" max="6" width="7.3984375" customWidth="1"/>
    <col min="7" max="7" width="7.26171875" customWidth="1"/>
  </cols>
  <sheetData>
    <row r="1" spans="1:7" ht="36.6" customHeight="1" x14ac:dyDescent="0.2">
      <c r="A1" s="165"/>
      <c r="B1" s="165"/>
      <c r="C1" s="32"/>
      <c r="D1" s="3"/>
      <c r="E1" s="33"/>
      <c r="F1" s="34"/>
      <c r="G1" s="35" t="s">
        <v>2</v>
      </c>
    </row>
    <row r="2" spans="1:7" ht="36.6" customHeight="1" x14ac:dyDescent="0.2">
      <c r="A2" s="165"/>
      <c r="B2" s="165"/>
      <c r="C2" s="36"/>
      <c r="D2" s="65" t="s">
        <v>30</v>
      </c>
      <c r="E2" s="38"/>
      <c r="G2" s="5"/>
    </row>
    <row r="3" spans="1:7" ht="36.6" customHeight="1" x14ac:dyDescent="0.2">
      <c r="A3" s="165"/>
      <c r="B3" s="165"/>
      <c r="C3" s="36"/>
      <c r="D3" s="39" t="s">
        <v>3</v>
      </c>
      <c r="G3" s="40" t="s">
        <v>1</v>
      </c>
    </row>
    <row r="4" spans="1:7" ht="43.9" customHeight="1" thickBot="1" x14ac:dyDescent="0.25">
      <c r="A4" s="165"/>
      <c r="B4" s="165"/>
      <c r="C4" s="36"/>
      <c r="D4" s="41" t="s">
        <v>4</v>
      </c>
      <c r="F4" s="37" t="s">
        <v>0</v>
      </c>
      <c r="G4" s="5"/>
    </row>
    <row r="5" spans="1:7" ht="14.45" customHeight="1" x14ac:dyDescent="0.2">
      <c r="A5" s="166" t="s">
        <v>31</v>
      </c>
      <c r="B5" s="167"/>
      <c r="C5" s="167" t="s">
        <v>23</v>
      </c>
      <c r="D5" s="170"/>
      <c r="E5" s="170"/>
      <c r="F5" s="170"/>
      <c r="G5" s="171"/>
    </row>
    <row r="6" spans="1:7" ht="14.45" customHeight="1" x14ac:dyDescent="0.2">
      <c r="A6" s="168"/>
      <c r="B6" s="169"/>
      <c r="C6" s="42">
        <v>100</v>
      </c>
      <c r="D6" s="42">
        <v>120</v>
      </c>
      <c r="E6" s="42">
        <v>150</v>
      </c>
      <c r="F6" s="42">
        <v>180</v>
      </c>
      <c r="G6" s="43">
        <v>200</v>
      </c>
    </row>
    <row r="7" spans="1:7" ht="80.45" customHeight="1" x14ac:dyDescent="0.2">
      <c r="A7" s="55" t="s">
        <v>49</v>
      </c>
      <c r="B7" s="56"/>
      <c r="C7" s="57">
        <v>1300</v>
      </c>
      <c r="D7" s="57">
        <v>1300</v>
      </c>
      <c r="E7" s="57">
        <v>1500</v>
      </c>
      <c r="F7" s="57">
        <v>1700</v>
      </c>
      <c r="G7" s="58">
        <v>1900</v>
      </c>
    </row>
    <row r="8" spans="1:7" ht="53.45" customHeight="1" x14ac:dyDescent="0.2">
      <c r="A8" s="46" t="s">
        <v>32</v>
      </c>
      <c r="B8" s="47"/>
      <c r="C8" s="48">
        <v>1500</v>
      </c>
      <c r="D8" s="48">
        <v>1500</v>
      </c>
      <c r="E8" s="48">
        <v>1700</v>
      </c>
      <c r="F8" s="48">
        <v>1900</v>
      </c>
      <c r="G8" s="59">
        <v>2100</v>
      </c>
    </row>
  </sheetData>
  <sheetProtection sheet="1" objects="1" scenarios="1"/>
  <mergeCells count="3">
    <mergeCell ref="A1:B4"/>
    <mergeCell ref="A5:B6"/>
    <mergeCell ref="C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79B0-7C1A-419C-88FF-158EF4B16961}">
  <sheetPr>
    <tabColor rgb="FFFFFF00"/>
  </sheetPr>
  <dimension ref="A1:G15"/>
  <sheetViews>
    <sheetView topLeftCell="A8" workbookViewId="0">
      <selection activeCell="D3" sqref="D3"/>
    </sheetView>
  </sheetViews>
  <sheetFormatPr defaultRowHeight="40.9" customHeight="1" x14ac:dyDescent="0.2"/>
  <cols>
    <col min="1" max="1" width="25.55859375" customWidth="1"/>
    <col min="2" max="2" width="50.04296875" customWidth="1"/>
    <col min="3" max="3" width="7.6640625" customWidth="1"/>
    <col min="4" max="4" width="7.3984375" customWidth="1"/>
    <col min="5" max="5" width="7.26171875" customWidth="1"/>
    <col min="6" max="6" width="7.3984375" customWidth="1"/>
    <col min="7" max="7" width="7.26171875" customWidth="1"/>
  </cols>
  <sheetData>
    <row r="1" spans="1:7" ht="40.9" customHeight="1" x14ac:dyDescent="0.2">
      <c r="A1" s="165"/>
      <c r="B1" s="165"/>
      <c r="C1" s="32"/>
      <c r="D1" s="3"/>
      <c r="E1" s="33"/>
      <c r="F1" s="34"/>
      <c r="G1" s="35" t="s">
        <v>2</v>
      </c>
    </row>
    <row r="2" spans="1:7" ht="40.9" customHeight="1" x14ac:dyDescent="0.2">
      <c r="A2" s="165"/>
      <c r="B2" s="165"/>
      <c r="C2" s="36"/>
      <c r="D2" s="65" t="s">
        <v>30</v>
      </c>
      <c r="E2" s="38"/>
      <c r="G2" s="5"/>
    </row>
    <row r="3" spans="1:7" ht="40.9" customHeight="1" x14ac:dyDescent="0.2">
      <c r="A3" s="165"/>
      <c r="B3" s="165"/>
      <c r="C3" s="36"/>
      <c r="D3" s="39" t="s">
        <v>3</v>
      </c>
      <c r="G3" s="40" t="s">
        <v>1</v>
      </c>
    </row>
    <row r="4" spans="1:7" ht="40.9" customHeight="1" thickBot="1" x14ac:dyDescent="0.25">
      <c r="A4" s="165"/>
      <c r="B4" s="165"/>
      <c r="C4" s="36"/>
      <c r="D4" s="41" t="s">
        <v>4</v>
      </c>
      <c r="F4" s="37" t="s">
        <v>0</v>
      </c>
      <c r="G4" s="5"/>
    </row>
    <row r="5" spans="1:7" ht="15" x14ac:dyDescent="0.2">
      <c r="A5" s="166" t="s">
        <v>29</v>
      </c>
      <c r="B5" s="167"/>
      <c r="C5" s="167" t="s">
        <v>23</v>
      </c>
      <c r="D5" s="170"/>
      <c r="E5" s="170"/>
      <c r="F5" s="170"/>
      <c r="G5" s="171"/>
    </row>
    <row r="6" spans="1:7" ht="15" x14ac:dyDescent="0.2">
      <c r="A6" s="168"/>
      <c r="B6" s="169"/>
      <c r="C6" s="42">
        <v>100</v>
      </c>
      <c r="D6" s="42">
        <v>120</v>
      </c>
      <c r="E6" s="42">
        <v>150</v>
      </c>
      <c r="F6" s="42">
        <v>180</v>
      </c>
      <c r="G6" s="43">
        <v>200</v>
      </c>
    </row>
    <row r="7" spans="1:7" ht="50.25" x14ac:dyDescent="0.2">
      <c r="A7" s="44" t="s">
        <v>26</v>
      </c>
      <c r="B7" s="45"/>
      <c r="C7" s="60">
        <v>1055</v>
      </c>
      <c r="D7" s="60">
        <v>1145</v>
      </c>
      <c r="E7" s="60">
        <v>1325</v>
      </c>
      <c r="F7" s="60">
        <v>1550</v>
      </c>
      <c r="G7" s="60">
        <v>1730</v>
      </c>
    </row>
    <row r="8" spans="1:7" ht="40.9" customHeight="1" x14ac:dyDescent="0.2">
      <c r="A8" s="46" t="s">
        <v>24</v>
      </c>
      <c r="B8" s="47"/>
      <c r="C8" s="61">
        <v>1270</v>
      </c>
      <c r="D8" s="61">
        <v>1370</v>
      </c>
      <c r="E8" s="61">
        <v>1570</v>
      </c>
      <c r="F8" s="61">
        <v>1820</v>
      </c>
      <c r="G8" s="61">
        <v>2020</v>
      </c>
    </row>
    <row r="9" spans="1:7" ht="40.9" customHeight="1" thickBot="1" x14ac:dyDescent="0.25">
      <c r="A9" s="49" t="s">
        <v>25</v>
      </c>
      <c r="B9" s="50"/>
      <c r="C9" s="61">
        <v>1485</v>
      </c>
      <c r="D9" s="61">
        <v>1595</v>
      </c>
      <c r="E9" s="61">
        <v>1815</v>
      </c>
      <c r="F9" s="61">
        <v>2090.0000000000005</v>
      </c>
      <c r="G9" s="61">
        <v>2310.0000000000005</v>
      </c>
    </row>
    <row r="10" spans="1:7" ht="50.25" x14ac:dyDescent="0.2">
      <c r="A10" s="51" t="s">
        <v>27</v>
      </c>
      <c r="B10" s="52"/>
      <c r="C10" s="62">
        <v>695</v>
      </c>
      <c r="D10" s="62">
        <v>785</v>
      </c>
      <c r="E10" s="62">
        <v>920</v>
      </c>
      <c r="F10" s="62">
        <v>1100</v>
      </c>
      <c r="G10" s="62">
        <v>1280</v>
      </c>
    </row>
    <row r="11" spans="1:7" ht="40.9" customHeight="1" x14ac:dyDescent="0.2">
      <c r="A11" s="46" t="s">
        <v>24</v>
      </c>
      <c r="B11" s="47"/>
      <c r="C11" s="61">
        <v>870</v>
      </c>
      <c r="D11" s="61">
        <v>970</v>
      </c>
      <c r="E11" s="61">
        <v>1120</v>
      </c>
      <c r="F11" s="61">
        <v>1320</v>
      </c>
      <c r="G11" s="61">
        <v>1520</v>
      </c>
    </row>
    <row r="12" spans="1:7" ht="40.9" customHeight="1" thickBot="1" x14ac:dyDescent="0.25">
      <c r="A12" s="53" t="s">
        <v>25</v>
      </c>
      <c r="B12" s="54"/>
      <c r="C12" s="61">
        <v>1045.0000000000002</v>
      </c>
      <c r="D12" s="61">
        <v>1155.0000000000002</v>
      </c>
      <c r="E12" s="61">
        <v>1320</v>
      </c>
      <c r="F12" s="61">
        <v>1540</v>
      </c>
      <c r="G12" s="61">
        <v>1760</v>
      </c>
    </row>
    <row r="13" spans="1:7" ht="50.25" x14ac:dyDescent="0.2">
      <c r="A13" s="55" t="s">
        <v>28</v>
      </c>
      <c r="B13" s="56"/>
      <c r="C13" s="63">
        <v>515</v>
      </c>
      <c r="D13" s="63">
        <v>605</v>
      </c>
      <c r="E13" s="63">
        <v>740</v>
      </c>
      <c r="F13" s="63">
        <v>830</v>
      </c>
      <c r="G13" s="63">
        <v>902</v>
      </c>
    </row>
    <row r="14" spans="1:7" ht="40.9" customHeight="1" x14ac:dyDescent="0.2">
      <c r="A14" s="46" t="s">
        <v>24</v>
      </c>
      <c r="B14" s="47"/>
      <c r="C14" s="61">
        <v>670</v>
      </c>
      <c r="D14" s="61">
        <v>770</v>
      </c>
      <c r="E14" s="61">
        <v>920</v>
      </c>
      <c r="F14" s="61">
        <v>1020</v>
      </c>
      <c r="G14" s="61">
        <v>1100</v>
      </c>
    </row>
    <row r="15" spans="1:7" ht="45" customHeight="1" thickBot="1" x14ac:dyDescent="0.25">
      <c r="A15" s="53" t="s">
        <v>25</v>
      </c>
      <c r="B15" s="54"/>
      <c r="C15" s="61">
        <v>825.00000000000023</v>
      </c>
      <c r="D15" s="61">
        <v>935.00000000000023</v>
      </c>
      <c r="E15" s="61">
        <v>1100.0000000000002</v>
      </c>
      <c r="F15" s="61">
        <v>1210</v>
      </c>
      <c r="G15" s="61">
        <v>1298</v>
      </c>
    </row>
  </sheetData>
  <sheetProtection sheet="1" objects="1" scenarios="1"/>
  <mergeCells count="3">
    <mergeCell ref="A1:B4"/>
    <mergeCell ref="A5:B6"/>
    <mergeCell ref="C5:G5"/>
  </mergeCells>
  <hyperlinks>
    <hyperlink ref="F4" r:id="rId1" xr:uid="{6EE432D3-9802-4212-860F-DBD35C82D479}"/>
    <hyperlink ref="G3" r:id="rId2" xr:uid="{8DCC9CB4-D83F-4641-AC09-39237623C75D}"/>
    <hyperlink ref="D4" r:id="rId3" xr:uid="{165385B2-BC6D-4A01-9E89-F6DCA0F9FCAE}"/>
    <hyperlink ref="D3" r:id="rId4" xr:uid="{7C95882E-6B79-4EED-B0B1-0CBEB399FF5B}"/>
    <hyperlink ref="D2" r:id="rId5" display="+7 (918) 921-21-01" xr:uid="{1020DD12-16F1-4CE2-87CA-13C14FA67D4B}"/>
    <hyperlink ref="G1" r:id="rId6" xr:uid="{25423514-E7E8-466D-9B88-FFC8BB1D4937}"/>
  </hyperlinks>
  <pageMargins left="0.7" right="0.7" top="0.75" bottom="0.75" header="0.3" footer="0.3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C23"/>
  <sheetViews>
    <sheetView topLeftCell="A2" zoomScale="85" zoomScaleNormal="85" workbookViewId="0">
      <selection activeCell="E11" sqref="E11"/>
    </sheetView>
  </sheetViews>
  <sheetFormatPr defaultRowHeight="15" x14ac:dyDescent="0.2"/>
  <cols>
    <col min="1" max="1" width="28.921875" customWidth="1"/>
    <col min="2" max="2" width="46.6796875" customWidth="1"/>
    <col min="3" max="3" width="10.76171875" customWidth="1"/>
  </cols>
  <sheetData>
    <row r="1" spans="1:3" s="1" customFormat="1" ht="143.44999999999999" customHeight="1" thickBot="1" x14ac:dyDescent="0.25">
      <c r="A1" s="2"/>
      <c r="B1" s="3"/>
      <c r="C1" s="4"/>
    </row>
    <row r="2" spans="1:3" s="1" customFormat="1" ht="24" customHeight="1" x14ac:dyDescent="0.2">
      <c r="A2" s="154"/>
      <c r="B2" s="24" t="s">
        <v>2</v>
      </c>
      <c r="C2" s="23"/>
    </row>
    <row r="3" spans="1:3" s="1" customFormat="1" ht="25.15" customHeight="1" x14ac:dyDescent="0.2">
      <c r="A3" s="155"/>
      <c r="B3" s="64" t="s">
        <v>30</v>
      </c>
      <c r="C3" s="21"/>
    </row>
    <row r="4" spans="1:3" s="1" customFormat="1" ht="25.9" customHeight="1" x14ac:dyDescent="0.2">
      <c r="A4" s="25" t="s">
        <v>1</v>
      </c>
      <c r="B4" s="26" t="s">
        <v>3</v>
      </c>
      <c r="C4" s="5"/>
    </row>
    <row r="5" spans="1:3" s="1" customFormat="1" ht="27.6" customHeight="1" thickBot="1" x14ac:dyDescent="0.25">
      <c r="A5" s="25" t="s">
        <v>0</v>
      </c>
      <c r="B5" s="27" t="s">
        <v>4</v>
      </c>
      <c r="C5" s="22"/>
    </row>
    <row r="6" spans="1:3" ht="25.15" customHeight="1" x14ac:dyDescent="0.2">
      <c r="A6" s="162" t="s">
        <v>34</v>
      </c>
      <c r="B6" s="163"/>
      <c r="C6" s="67" t="s">
        <v>33</v>
      </c>
    </row>
    <row r="7" spans="1:3" x14ac:dyDescent="0.2">
      <c r="A7" s="70" t="s">
        <v>39</v>
      </c>
      <c r="B7" s="17"/>
      <c r="C7" s="18">
        <v>75</v>
      </c>
    </row>
    <row r="8" spans="1:3" ht="17.25" x14ac:dyDescent="0.2">
      <c r="A8" s="11" t="s">
        <v>11</v>
      </c>
      <c r="B8" s="12"/>
      <c r="C8" s="13">
        <v>55</v>
      </c>
    </row>
    <row r="9" spans="1:3" ht="30.75" x14ac:dyDescent="0.2">
      <c r="A9" s="16" t="s">
        <v>40</v>
      </c>
      <c r="B9" s="68"/>
      <c r="C9" s="18">
        <v>125</v>
      </c>
    </row>
    <row r="10" spans="1:3" ht="17.25" x14ac:dyDescent="0.2">
      <c r="A10" s="11" t="s">
        <v>11</v>
      </c>
      <c r="B10" s="12"/>
      <c r="C10" s="13">
        <v>85</v>
      </c>
    </row>
    <row r="11" spans="1:3" ht="30.75" x14ac:dyDescent="0.2">
      <c r="A11" s="16" t="s">
        <v>41</v>
      </c>
      <c r="B11" s="17"/>
      <c r="C11" s="18">
        <v>110</v>
      </c>
    </row>
    <row r="12" spans="1:3" ht="17.25" x14ac:dyDescent="0.2">
      <c r="A12" s="11" t="s">
        <v>12</v>
      </c>
      <c r="B12" s="12"/>
      <c r="C12" s="13">
        <v>80</v>
      </c>
    </row>
    <row r="13" spans="1:3" ht="30.75" x14ac:dyDescent="0.2">
      <c r="A13" s="16" t="s">
        <v>42</v>
      </c>
      <c r="B13" s="19"/>
      <c r="C13" s="18">
        <v>150</v>
      </c>
    </row>
    <row r="14" spans="1:3" ht="17.25" x14ac:dyDescent="0.2">
      <c r="A14" s="14" t="s">
        <v>12</v>
      </c>
      <c r="B14" s="15"/>
      <c r="C14" s="13">
        <v>110</v>
      </c>
    </row>
    <row r="15" spans="1:3" ht="33" customHeight="1" x14ac:dyDescent="0.2">
      <c r="A15" s="162" t="s">
        <v>38</v>
      </c>
      <c r="B15" s="163"/>
      <c r="C15" s="67" t="s">
        <v>37</v>
      </c>
    </row>
    <row r="16" spans="1:3" x14ac:dyDescent="0.2">
      <c r="A16" s="69" t="s">
        <v>35</v>
      </c>
      <c r="B16" s="71"/>
      <c r="C16" s="30">
        <v>160</v>
      </c>
    </row>
    <row r="17" spans="1:3" x14ac:dyDescent="0.2">
      <c r="A17" s="69" t="s">
        <v>36</v>
      </c>
      <c r="B17" s="71"/>
      <c r="C17" s="30">
        <v>170</v>
      </c>
    </row>
    <row r="18" spans="1:3" x14ac:dyDescent="0.2">
      <c r="A18" s="72" t="s">
        <v>43</v>
      </c>
      <c r="B18" s="73"/>
      <c r="C18" s="74">
        <v>320</v>
      </c>
    </row>
    <row r="19" spans="1:3" x14ac:dyDescent="0.2">
      <c r="A19" s="72" t="s">
        <v>44</v>
      </c>
      <c r="B19" s="73"/>
      <c r="C19" s="74">
        <v>395</v>
      </c>
    </row>
    <row r="20" spans="1:3" x14ac:dyDescent="0.2">
      <c r="A20" s="72" t="s">
        <v>45</v>
      </c>
      <c r="B20" s="75"/>
      <c r="C20" s="74">
        <v>475</v>
      </c>
    </row>
    <row r="21" spans="1:3" x14ac:dyDescent="0.2">
      <c r="A21" s="11" t="s">
        <v>46</v>
      </c>
      <c r="B21" s="66"/>
      <c r="C21" s="31">
        <v>265</v>
      </c>
    </row>
    <row r="22" spans="1:3" x14ac:dyDescent="0.2">
      <c r="A22" s="11" t="s">
        <v>47</v>
      </c>
      <c r="B22" s="172"/>
      <c r="C22" s="31">
        <v>333</v>
      </c>
    </row>
    <row r="23" spans="1:3" x14ac:dyDescent="0.2">
      <c r="A23" s="11" t="s">
        <v>48</v>
      </c>
      <c r="B23" s="172"/>
      <c r="C23" s="31">
        <v>400</v>
      </c>
    </row>
  </sheetData>
  <sheetProtection sheet="1" objects="1" scenarios="1"/>
  <mergeCells count="4">
    <mergeCell ref="A6:B6"/>
    <mergeCell ref="A15:B15"/>
    <mergeCell ref="A2:A3"/>
    <mergeCell ref="B22:B23"/>
  </mergeCells>
  <phoneticPr fontId="3" type="noConversion"/>
  <pageMargins left="0.25" right="0.25" top="0.75" bottom="0.75" header="0.3" footer="0.3"/>
  <pageSetup paperSize="9" scale="9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C3094-3E49-4A00-B46D-FDE4B02B8420}">
  <sheetPr>
    <tabColor rgb="FF00B050"/>
  </sheetPr>
  <dimension ref="A1:G15"/>
  <sheetViews>
    <sheetView zoomScaleNormal="100" workbookViewId="0">
      <selection activeCell="G16" sqref="G16"/>
    </sheetView>
  </sheetViews>
  <sheetFormatPr defaultRowHeight="15" x14ac:dyDescent="0.2"/>
  <cols>
    <col min="1" max="1" width="25.55859375" customWidth="1"/>
    <col min="2" max="2" width="50.04296875" customWidth="1"/>
    <col min="3" max="3" width="7.6640625" customWidth="1"/>
    <col min="4" max="4" width="7.3984375" customWidth="1"/>
    <col min="5" max="5" width="7.26171875" customWidth="1"/>
    <col min="6" max="6" width="7.3984375" customWidth="1"/>
    <col min="7" max="7" width="7.26171875" customWidth="1"/>
  </cols>
  <sheetData>
    <row r="1" spans="1:7" ht="36.6" customHeight="1" x14ac:dyDescent="0.2">
      <c r="A1" s="165"/>
      <c r="B1" s="165"/>
      <c r="C1" s="32"/>
      <c r="D1" s="3"/>
      <c r="E1" s="33"/>
      <c r="F1" s="34"/>
      <c r="G1" s="35" t="s">
        <v>2</v>
      </c>
    </row>
    <row r="2" spans="1:7" ht="36.6" customHeight="1" x14ac:dyDescent="0.2">
      <c r="A2" s="165"/>
      <c r="B2" s="165"/>
      <c r="C2" s="36"/>
      <c r="D2" s="65" t="s">
        <v>30</v>
      </c>
      <c r="E2" s="38"/>
      <c r="G2" s="5"/>
    </row>
    <row r="3" spans="1:7" ht="36.6" customHeight="1" x14ac:dyDescent="0.2">
      <c r="A3" s="165"/>
      <c r="B3" s="165"/>
      <c r="C3" s="36"/>
      <c r="D3" s="39" t="s">
        <v>3</v>
      </c>
      <c r="G3" s="40" t="s">
        <v>1</v>
      </c>
    </row>
    <row r="4" spans="1:7" ht="43.9" customHeight="1" thickBot="1" x14ac:dyDescent="0.25">
      <c r="A4" s="165"/>
      <c r="B4" s="165"/>
      <c r="C4" s="36"/>
      <c r="D4" s="41" t="s">
        <v>4</v>
      </c>
      <c r="F4" s="37" t="s">
        <v>0</v>
      </c>
      <c r="G4" s="5"/>
    </row>
    <row r="5" spans="1:7" ht="14.45" customHeight="1" x14ac:dyDescent="0.2">
      <c r="A5" s="166" t="s">
        <v>22</v>
      </c>
      <c r="B5" s="167"/>
      <c r="C5" s="167" t="s">
        <v>23</v>
      </c>
      <c r="D5" s="170"/>
      <c r="E5" s="170"/>
      <c r="F5" s="170"/>
      <c r="G5" s="171"/>
    </row>
    <row r="6" spans="1:7" ht="14.45" customHeight="1" x14ac:dyDescent="0.2">
      <c r="A6" s="168"/>
      <c r="B6" s="169"/>
      <c r="C6" s="42">
        <v>100</v>
      </c>
      <c r="D6" s="42">
        <v>120</v>
      </c>
      <c r="E6" s="42">
        <v>150</v>
      </c>
      <c r="F6" s="42">
        <v>180</v>
      </c>
      <c r="G6" s="43">
        <v>200</v>
      </c>
    </row>
    <row r="7" spans="1:7" ht="64.150000000000006" customHeight="1" x14ac:dyDescent="0.2">
      <c r="A7" s="185" t="s">
        <v>121</v>
      </c>
      <c r="B7" s="45"/>
      <c r="C7" s="176">
        <v>2100</v>
      </c>
      <c r="D7" s="176">
        <v>2600</v>
      </c>
      <c r="E7" s="176">
        <v>2850</v>
      </c>
      <c r="F7" s="176">
        <v>3100</v>
      </c>
      <c r="G7" s="176">
        <v>3400</v>
      </c>
    </row>
    <row r="8" spans="1:7" ht="31.15" customHeight="1" x14ac:dyDescent="0.2">
      <c r="A8" s="186"/>
      <c r="B8" s="47"/>
      <c r="C8" s="177"/>
      <c r="D8" s="177"/>
      <c r="E8" s="177"/>
      <c r="F8" s="177"/>
      <c r="G8" s="177"/>
    </row>
    <row r="9" spans="1:7" ht="29.45" customHeight="1" thickBot="1" x14ac:dyDescent="0.25">
      <c r="A9" s="187"/>
      <c r="B9" s="50"/>
      <c r="C9" s="178"/>
      <c r="D9" s="178"/>
      <c r="E9" s="178"/>
      <c r="F9" s="178"/>
      <c r="G9" s="178"/>
    </row>
    <row r="10" spans="1:7" ht="64.150000000000006" customHeight="1" x14ac:dyDescent="0.2">
      <c r="A10" s="188" t="s">
        <v>122</v>
      </c>
      <c r="B10" s="52"/>
      <c r="C10" s="179">
        <v>1750</v>
      </c>
      <c r="D10" s="179">
        <v>2300</v>
      </c>
      <c r="E10" s="179">
        <v>2400</v>
      </c>
      <c r="F10" s="179">
        <v>2600</v>
      </c>
      <c r="G10" s="179">
        <v>2900</v>
      </c>
    </row>
    <row r="11" spans="1:7" ht="31.9" customHeight="1" x14ac:dyDescent="0.2">
      <c r="A11" s="189"/>
      <c r="B11" s="47"/>
      <c r="C11" s="180"/>
      <c r="D11" s="180"/>
      <c r="E11" s="180"/>
      <c r="F11" s="180"/>
      <c r="G11" s="180"/>
    </row>
    <row r="12" spans="1:7" ht="15" customHeight="1" thickBot="1" x14ac:dyDescent="0.25">
      <c r="A12" s="190"/>
      <c r="B12" s="54"/>
      <c r="C12" s="181"/>
      <c r="D12" s="181"/>
      <c r="E12" s="181"/>
      <c r="F12" s="181"/>
      <c r="G12" s="181"/>
    </row>
    <row r="13" spans="1:7" ht="64.150000000000006" customHeight="1" x14ac:dyDescent="0.2">
      <c r="A13" s="173" t="s">
        <v>123</v>
      </c>
      <c r="B13" s="56"/>
      <c r="C13" s="182">
        <v>1650</v>
      </c>
      <c r="D13" s="182">
        <v>2100</v>
      </c>
      <c r="E13" s="182">
        <v>2200</v>
      </c>
      <c r="F13" s="182">
        <v>2300</v>
      </c>
      <c r="G13" s="182">
        <v>2600</v>
      </c>
    </row>
    <row r="14" spans="1:7" ht="28.9" customHeight="1" x14ac:dyDescent="0.2">
      <c r="A14" s="174"/>
      <c r="B14" s="47"/>
      <c r="C14" s="183"/>
      <c r="D14" s="183"/>
      <c r="E14" s="183"/>
      <c r="F14" s="183"/>
      <c r="G14" s="183"/>
    </row>
    <row r="15" spans="1:7" ht="43.15" customHeight="1" thickBot="1" x14ac:dyDescent="0.25">
      <c r="A15" s="175"/>
      <c r="B15" s="54"/>
      <c r="C15" s="184"/>
      <c r="D15" s="184"/>
      <c r="E15" s="184"/>
      <c r="F15" s="184"/>
      <c r="G15" s="184"/>
    </row>
  </sheetData>
  <sheetProtection sheet="1" objects="1" scenarios="1"/>
  <mergeCells count="21">
    <mergeCell ref="A1:B4"/>
    <mergeCell ref="A5:B6"/>
    <mergeCell ref="C5:G5"/>
    <mergeCell ref="A7:A9"/>
    <mergeCell ref="A10:A12"/>
    <mergeCell ref="A13:A15"/>
    <mergeCell ref="G7:G9"/>
    <mergeCell ref="F7:F9"/>
    <mergeCell ref="E7:E9"/>
    <mergeCell ref="D7:D9"/>
    <mergeCell ref="C7:C9"/>
    <mergeCell ref="G10:G12"/>
    <mergeCell ref="F10:F12"/>
    <mergeCell ref="E10:E12"/>
    <mergeCell ref="D10:D12"/>
    <mergeCell ref="C10:C12"/>
    <mergeCell ref="G13:G15"/>
    <mergeCell ref="F13:F15"/>
    <mergeCell ref="E13:E15"/>
    <mergeCell ref="D13:D15"/>
    <mergeCell ref="C13:C15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Ступени</vt:lpstr>
      <vt:lpstr>Столешницы</vt:lpstr>
      <vt:lpstr>Мебельный щит</vt:lpstr>
      <vt:lpstr>Лист1</vt:lpstr>
      <vt:lpstr>Массивная паркетная доска</vt:lpstr>
      <vt:lpstr>Дубовая ламель</vt:lpstr>
      <vt:lpstr>Рейки</vt:lpstr>
      <vt:lpstr>Инженерная доска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Dmitry Pokatilov</cp:lastModifiedBy>
  <cp:lastPrinted>2020-06-11T11:05:06Z</cp:lastPrinted>
  <dcterms:created xsi:type="dcterms:W3CDTF">2019-10-14T14:12:08Z</dcterms:created>
  <dcterms:modified xsi:type="dcterms:W3CDTF">2022-01-27T12:48:07Z</dcterms:modified>
</cp:coreProperties>
</file>